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30" tabRatio="906" activeTab="1"/>
  </bookViews>
  <sheets>
    <sheet name="Instructions" sheetId="1" r:id="rId1"/>
    <sheet name="RACE " sheetId="2" r:id="rId2"/>
    <sheet name="PREDICTED LOG" sheetId="3" r:id="rId3"/>
    <sheet name="CONTEST LOG" sheetId="4" r:id="rId4"/>
    <sheet name="CALCULATION LOG" sheetId="5" r:id="rId5"/>
    <sheet name="Observers Timing Sheet" sheetId="6" r:id="rId6"/>
    <sheet name="Wind - Cruise" sheetId="7" r:id="rId7"/>
    <sheet name="Wind - Slow" sheetId="8" r:id="rId8"/>
    <sheet name="Dog Leg " sheetId="9" r:id="rId9"/>
    <sheet name="Al Smith's - Turn Time  - Lost" sheetId="10" r:id="rId10"/>
    <sheet name="Checklist" sheetId="11" r:id="rId11"/>
    <sheet name="PREDICTED LOG (Blank)" sheetId="12" r:id="rId12"/>
    <sheet name="CONTEST LOG (BLANK)" sheetId="13" r:id="rId13"/>
    <sheet name="CALCULATION LOG (BLANK)" sheetId="14" r:id="rId14"/>
    <sheet name="join NACA " sheetId="15" r:id="rId15"/>
  </sheets>
  <externalReferences>
    <externalReference r:id="rId18"/>
    <externalReference r:id="rId19"/>
  </externalReferences>
  <definedNames>
    <definedName name="\c">'RACE '!$AT$4</definedName>
    <definedName name="\d">'RACE '!$AT$8</definedName>
    <definedName name="\h">'RACE '!$AT$6</definedName>
    <definedName name="\l">'RACE '!$AT$8</definedName>
    <definedName name="\p">'RACE '!$AR$5</definedName>
    <definedName name="\q" localSheetId="13">'RACE '!#REF!</definedName>
    <definedName name="\q" localSheetId="10">'[1]RACE '!#REF!</definedName>
    <definedName name="\q" localSheetId="12">'RACE '!#REF!</definedName>
    <definedName name="\q" localSheetId="14">'[2]RACE '!#REF!</definedName>
    <definedName name="\q">'RACE '!#REF!</definedName>
    <definedName name="\r">'RACE '!$AR$7</definedName>
    <definedName name="_xlnm.Print_Area" localSheetId="4">'CALCULATION LOG'!$B$4:$AA$38</definedName>
    <definedName name="_xlnm.Print_Area" localSheetId="13">'CALCULATION LOG (BLANK)'!$B$4:$AA$38</definedName>
    <definedName name="_xlnm.Print_Area" localSheetId="3">'CONTEST LOG'!$B$2:$AD$46</definedName>
    <definedName name="_xlnm.Print_Area" localSheetId="12">'CONTEST LOG (BLANK)'!$B$2:$AD$46</definedName>
    <definedName name="_xlnm.Print_Area" localSheetId="8">'Dog Leg '!$A$1:$S$53</definedName>
    <definedName name="_xlnm.Print_Area" localSheetId="14">'join NACA '!$B$5:$J$50</definedName>
    <definedName name="_xlnm.Print_Area" localSheetId="5">'Observers Timing Sheet'!$C$1:$L$83</definedName>
    <definedName name="_xlnm.Print_Area" localSheetId="2">'PREDICTED LOG'!$B$2:$M$34</definedName>
    <definedName name="_xlnm.Print_Area" localSheetId="11">'PREDICTED LOG (Blank)'!$B$1:$M$34</definedName>
    <definedName name="_xlnm.Print_Area" localSheetId="1">'RACE '!$A$1:$AC$85</definedName>
    <definedName name="_xlnm.Print_Area" localSheetId="6">'Wind - Cruise'!$A$1:$M$54</definedName>
    <definedName name="_xlnm.Print_Area" localSheetId="7">'Wind - Slow'!$A$1:$M$56</definedName>
    <definedName name="Print_Area_MI">'RACE '!$A$1:$Y$88</definedName>
    <definedName name="Runtime" localSheetId="13">'RACE '!#REF!</definedName>
    <definedName name="Runtime" localSheetId="12">'RACE '!#REF!</definedName>
    <definedName name="Runtime" localSheetId="14">'[2]RACE '!#REF!</definedName>
    <definedName name="Runtime">'RACE '!#REF!</definedName>
    <definedName name="Steer" localSheetId="13">'RACE '!#REF!</definedName>
    <definedName name="Steer" localSheetId="12">'RACE '!#REF!</definedName>
    <definedName name="Steer" localSheetId="14">'[2]RACE '!#REF!</definedName>
    <definedName name="Steer">'RACE '!#REF!</definedName>
    <definedName name="Z_907EE0C0_0197_11D3_883A_000086051F9E_.wvu.PrintArea" localSheetId="1" hidden="1">'RACE '!$A$1:$AK$86</definedName>
  </definedNames>
  <calcPr fullCalcOnLoad="1"/>
</workbook>
</file>

<file path=xl/comments2.xml><?xml version="1.0" encoding="utf-8"?>
<comments xmlns="http://schemas.openxmlformats.org/spreadsheetml/2006/main">
  <authors>
    <author>Bob Lindal</author>
    <author>James Anderson</author>
  </authors>
  <commentList>
    <comment ref="D3" authorId="0">
      <text>
        <r>
          <rPr>
            <b/>
            <sz val="8"/>
            <rFont val="Tahoma"/>
            <family val="2"/>
          </rPr>
          <t>Bob Lindal:</t>
        </r>
        <r>
          <rPr>
            <sz val="8"/>
            <rFont val="Tahoma"/>
            <family val="2"/>
          </rPr>
          <t xml:space="preserve">
Typical comment dialogue box
1.  Enter date and finish time as text as below, example; "6/29/91 or "15:00:00 - use ' or "
'2.  If true course or set of current is due north,   enter as 360 not 0
3. All entries should show as Blue 
'4. When you make an entry  which shows up black, click undo and see if there is a formula which  may be automatically calculated.  
'5. Hide columns in Red type as they are ot used during the race and any unused rows for legs or CPs.</t>
        </r>
      </text>
    </comment>
    <comment ref="K8" authorId="0">
      <text>
        <r>
          <rPr>
            <b/>
            <sz val="8"/>
            <rFont val="Tahoma"/>
            <family val="2"/>
          </rPr>
          <t>Bob Lindal:If course is due North enter as 360 not 0.</t>
        </r>
        <r>
          <rPr>
            <sz val="8"/>
            <rFont val="Tahoma"/>
            <family val="2"/>
          </rPr>
          <t xml:space="preserve">
Enter true bearing in this column and hide during race as you use Mag and Steer bearings not true bearings while racing.</t>
        </r>
      </text>
    </comment>
    <comment ref="R9" authorId="0">
      <text>
        <r>
          <rPr>
            <b/>
            <sz val="8"/>
            <rFont val="Tahoma"/>
            <family val="2"/>
          </rPr>
          <t xml:space="preserve">Bob Lindal: the word "SLOW" must be entered in those cells in column "A" wherever a slow ie 7 kn max speed is needed.  Enter a "C" for all other legs. </t>
        </r>
        <r>
          <rPr>
            <sz val="8"/>
            <rFont val="Tahoma"/>
            <family val="2"/>
          </rPr>
          <t xml:space="preserve">
The correct cell from J4 or J5 is inserted in this column.
</t>
        </r>
      </text>
    </comment>
    <comment ref="Q9" authorId="0">
      <text>
        <r>
          <rPr>
            <b/>
            <sz val="8"/>
            <rFont val="Tahoma"/>
            <family val="2"/>
          </rPr>
          <t>Bob Lindal:</t>
        </r>
        <r>
          <rPr>
            <sz val="8"/>
            <rFont val="Tahoma"/>
            <family val="2"/>
          </rPr>
          <t xml:space="preserve">
enter distance here - actual point to point and ignore turn distance as turn time takes care of that and any offset is only used to adjust leg heading
</t>
        </r>
      </text>
    </comment>
    <comment ref="D1" authorId="0">
      <text>
        <r>
          <rPr>
            <b/>
            <sz val="8"/>
            <rFont val="Tahoma"/>
            <family val="2"/>
          </rPr>
          <t>Bob Lindal: Enter race name and go to File/page set up to change footer descriptions</t>
        </r>
        <r>
          <rPr>
            <sz val="8"/>
            <rFont val="Tahoma"/>
            <family val="2"/>
          </rPr>
          <t xml:space="preserve">
</t>
        </r>
      </text>
    </comment>
    <comment ref="A2" authorId="0">
      <text>
        <r>
          <rPr>
            <b/>
            <sz val="8"/>
            <rFont val="Tahoma"/>
            <family val="2"/>
          </rPr>
          <t>Bob Lindal:</t>
        </r>
        <r>
          <rPr>
            <sz val="8"/>
            <rFont val="Tahoma"/>
            <family val="2"/>
          </rPr>
          <t xml:space="preserve">
Your name or Skipper's name
</t>
        </r>
      </text>
    </comment>
    <comment ref="A1" authorId="0">
      <text>
        <r>
          <rPr>
            <b/>
            <sz val="10"/>
            <rFont val="Tahoma"/>
            <family val="2"/>
          </rPr>
          <t>Bob Lindal:  with Revisions 1-18-2000 - &amp; 4-18-2000</t>
        </r>
        <r>
          <rPr>
            <sz val="10"/>
            <rFont val="Tahoma"/>
            <family val="2"/>
          </rPr>
          <t xml:space="preserve">
This is based on the QCYC excel spreadsheet that I got from </t>
        </r>
        <r>
          <rPr>
            <b/>
            <sz val="10"/>
            <rFont val="Tahoma"/>
            <family val="2"/>
          </rPr>
          <t>Ken Klett and Carl Weiss.</t>
        </r>
        <r>
          <rPr>
            <sz val="10"/>
            <rFont val="Tahoma"/>
            <family val="2"/>
          </rPr>
          <t xml:space="preserve"> </t>
        </r>
        <r>
          <rPr>
            <b/>
            <u val="single"/>
            <sz val="10"/>
            <rFont val="Tahoma"/>
            <family val="2"/>
          </rPr>
          <t xml:space="preserve">QCYC P/C W. Allen  (Al)  Smith </t>
        </r>
        <r>
          <rPr>
            <sz val="10"/>
            <rFont val="Tahoma"/>
            <family val="2"/>
          </rPr>
          <t xml:space="preserve">wrote the original program. I have made numerous changes and believe I have modified it so you can use for any number of CPs up to 8  (ie 8 main legs) and a max of 8 intermediate legs per CP.  see comments in cells A81 and B81 at "Finish".  
I can add additional intermediate legs or CPs,  if needed.
bobl@lindal.com
206-892-1234
206-938-1577
</t>
        </r>
      </text>
    </comment>
    <comment ref="R4" authorId="0">
      <text>
        <r>
          <rPr>
            <b/>
            <sz val="8"/>
            <rFont val="Tahoma"/>
            <family val="2"/>
          </rPr>
          <t xml:space="preserve">Bob Lindal:
Revised 2-02 - Use Suzy Q actual + excel polynomial.
</t>
        </r>
        <r>
          <rPr>
            <sz val="8"/>
            <rFont val="Tahoma"/>
            <family val="2"/>
          </rPr>
          <t xml:space="preserve">
Use Al Smith's method of timing a steady 180 deg turn and use = 180/(measured time less 6 sec)
OR
Measure actual turn time for 45, 90,135 and 180 degree turns and create your own "time lost in turn" chart which you can use to more accurately determine your turn times</t>
        </r>
      </text>
    </comment>
    <comment ref="R5" authorId="0">
      <text>
        <r>
          <rPr>
            <b/>
            <sz val="8"/>
            <rFont val="Tahoma"/>
            <family val="2"/>
          </rPr>
          <t>Bob Lindal:</t>
        </r>
        <r>
          <rPr>
            <sz val="8"/>
            <rFont val="Tahoma"/>
            <family val="2"/>
          </rPr>
          <t xml:space="preserve">
Enter any time within Class Finish 
window - use " or ' before  time ie -( '00:00:00)</t>
        </r>
      </text>
    </comment>
    <comment ref="Q84" authorId="0">
      <text>
        <r>
          <rPr>
            <b/>
            <sz val="8"/>
            <rFont val="Tahoma"/>
            <family val="2"/>
          </rPr>
          <t>Bob Lindal:
Enter official mileage from the actual race instruction sheets.</t>
        </r>
        <r>
          <rPr>
            <sz val="8"/>
            <rFont val="Tahoma"/>
            <family val="2"/>
          </rPr>
          <t xml:space="preserve">
</t>
        </r>
      </text>
    </comment>
    <comment ref="W4" authorId="0">
      <text>
        <r>
          <rPr>
            <b/>
            <sz val="8"/>
            <rFont val="Tahoma"/>
            <family val="2"/>
          </rPr>
          <t>Bob Lindal:Enter this value from your speed curve - ie the slope of the graph.</t>
        </r>
        <r>
          <rPr>
            <sz val="8"/>
            <rFont val="Tahoma"/>
            <family val="2"/>
          </rPr>
          <t xml:space="preserve">
</t>
        </r>
      </text>
    </comment>
    <comment ref="R1" authorId="0">
      <text>
        <r>
          <rPr>
            <b/>
            <sz val="8"/>
            <rFont val="Tahoma"/>
            <family val="2"/>
          </rPr>
          <t>Bob Lindal:Printing 
We print 2 version for the Race 
1 - all columns up to this Column  to use at helm and the observer can see.
2 - another up to column headed "PRINT 2" with all times etc for refernce that we keep in file and do not show the times to observer.</t>
        </r>
        <r>
          <rPr>
            <sz val="8"/>
            <rFont val="Tahoma"/>
            <family val="2"/>
          </rPr>
          <t xml:space="preserve">
</t>
        </r>
      </text>
    </comment>
    <comment ref="C8" authorId="0">
      <text>
        <r>
          <rPr>
            <b/>
            <sz val="8"/>
            <rFont val="Tahoma"/>
            <family val="2"/>
          </rPr>
          <t xml:space="preserve">Bob Lindal:Timed Run
Enter the number of the timed run (from the race instructions) in this column on the appropriate row.
Also, I highlight the entire row and click on "B" for Bold for each TR.  This allows us to pay special attention to these legs during the race.
The correct number of each TR in this column drives the calculation of the TR times and also the info in the Observer's Timing Sheet and the time ticks in columns BR and beyond.
</t>
        </r>
        <r>
          <rPr>
            <sz val="8"/>
            <rFont val="Tahoma"/>
            <family val="2"/>
          </rPr>
          <t xml:space="preserve">
</t>
        </r>
      </text>
    </comment>
    <comment ref="J4" authorId="0">
      <text>
        <r>
          <rPr>
            <b/>
            <sz val="9"/>
            <rFont val="Tahoma"/>
            <family val="2"/>
          </rPr>
          <t>Bob Lindal:
also calculates  seconds per mile in cell AB4
SUZY Q
10/12/02 - full water less 70 gal fuel = 100 gal net more 
   ie (374+200)/644= 0.85 or .32x3 sec = 1 sec 
      =  add 1 sec/nm ie 369.2 sec/nm or 9.742 Kn
   slow - use 1160 RPM for 516.4 + 0.7 sec = 517.1 sec/nm or 6.962 Kn
      or for 7 Kn use 1168 RPM
10/4/02 - fuel up - 175 gal less 25= 150 more
    = add 3/4 sec/nm ie 9.756 Kn at 1800 RPM
     1/4 water = 0.9x400+ 0.1x 200 = 380/600 = 1/3
9-8-02 - Bridge - W to E - 10kn @ 30deg -E to W 6 Kn @ 30 deg
    Fuel 0.9 + 0.7 = 0.8 --- water - 0 + .8 = 0.4 
    fluid range = 0.6 x444 gal +0.8 x 200 = 346 gal for 3 sec (see 3-01)    
ie 346/644=0.53 full fluids
             assume 2 sec range at slow speed
equiv = .2x444 +.6x200 = 208 ie 208/426 or 1.5 sec for mid tank
1790 - W to E -  6:09.97 = 9.731 Kn 
           E to W -  6:09.93 = 9.732 kn ave 9.731 Kn
          add 10 RPM =0.045 + 9.731 = 9.776 Kn @1800 RPM = 368.2 sec/nm
1175 - W to E - 8:32.78 = 7.021 kn
           E to W - 8:28.09 = 7.085 kn = ave 7.053 kn
           less 15 RPM = -0.068 = 6.985 kn or 515.4 sec/nm for 1160 RPM
----------------------------------------------------------------
7-20-02 - Bridge - 10 kn N wind - full fuel - 1/4 water
south w to e - 6:13 = 9.651 Kn - 1795 RPM = 9.673 kn
          e to w - 6:09.53 = 9.742 kn  - 1800 rpm
north side  - w to e - 6:11.78 = 9.683 kn  - 1805 RPM = 9.660 kn
Use 9.704 kn for full tank with 10 kn wind. ie 371 sec
Estimate wind effect to be 1 or 2 sec for 10 kn abeam and choppy water.
use 370 sec/nm for flat water and full tank -
use 369                   choppy water???????? inverted??
ICR probably 1/2 tank so deduct 2 sec
use 368 for flat water = 9.782 kn
and 367 for choppy water/wind
----------------------------------------------------------
2-10-02
fueled 0.95 tank
add one sec to nm ie 369.4 + 516.3
-----------------------------------------------------------------------
1-02
Timed along 520
1800 rpm = 368.4 sec/nm = 9.772 kn
1170 RPM = 515.3 sec/nm = 6.986 kn
reset turn time and slip 
----------------------------------------
Sep 16, 2001 - Pier 46 - 3295 yds
1800 rpm = 9.765 Kn avg N to S &amp; S to N
1175 rpm = 7.015 Kn ""   "   "
Use 1170 RPM for 6.992 KN
----------------------------------------
3-17-01 Fuel full - 369 sec for 1 nm vs 366 with less than 1/2 tank.
------------------------------------------------------------------------------------
Jan 6, 2001 Trim Tabs UP 14 Kn abeam - Fuel 3/4 - Bottom cleaned early Nov 
1800 RPM = 9.879 kn ; 222 RPM/knot
Turn rate = (Al Smith method) = 5.4 deg/sec
Jan 7, 2001 - 4 kn abeam - Tabs UP
1800 RPM = 9.85 kn 
1166 RPM = 7.045 Kn ; 222 RPM/knot 
     USE 1160 RPM for 7.0 kn
Slow Turn rate = 5.62 deg/sec
Fast to slow = -1 sec use -2
Slow to fast = +2 sec
Slow Slip = 45o = 30 yds
                   90o = 70 yds
                  180o = 54 yds
Cruise Slip 180o = 76 yds
Results FOS 2001 - 9.74 was best speed for least error at 1800 RPM
----------------------------------------------------------------------
Oct 7-8, 2000  TRIM TABS DOWN - Keyport
1680 RPM = 9.173 kn
1700         = 9.315
--------------------------------------------------------------------------
March 2000  Trim Tabs UP - 11 kn wind abeam
1650 RPM 9.137 kn  393 sec/nm
1170          7.000       514
Start =  + 6 sec
Slow to cruise =  +2 sec
Cruise to slow =  -2 sec
Turn rate  - cruise = 6.4 deg/sec  slow = 5.3 deg/sec
45</t>
        </r>
        <r>
          <rPr>
            <b/>
            <vertAlign val="superscript"/>
            <sz val="9"/>
            <rFont val="Tahoma"/>
            <family val="2"/>
          </rPr>
          <t xml:space="preserve">o </t>
        </r>
        <r>
          <rPr>
            <b/>
            <sz val="9"/>
            <rFont val="Tahoma"/>
            <family val="2"/>
          </rPr>
          <t>turn = +4 sec ; 20 yds slip
90</t>
        </r>
        <r>
          <rPr>
            <b/>
            <vertAlign val="superscript"/>
            <sz val="9"/>
            <rFont val="Tahoma"/>
            <family val="2"/>
          </rPr>
          <t>o</t>
        </r>
        <r>
          <rPr>
            <b/>
            <sz val="9"/>
            <rFont val="Tahoma"/>
            <family val="2"/>
          </rPr>
          <t xml:space="preserve"> turn = +10 sec ; 62 yds slip
135</t>
        </r>
        <r>
          <rPr>
            <b/>
            <vertAlign val="superscript"/>
            <sz val="9"/>
            <rFont val="Tahoma"/>
            <family val="2"/>
          </rPr>
          <t>o</t>
        </r>
        <r>
          <rPr>
            <b/>
            <sz val="9"/>
            <rFont val="Tahoma"/>
            <family val="2"/>
          </rPr>
          <t xml:space="preserve"> turn = +22 sec ; 85 yds slip
180</t>
        </r>
        <r>
          <rPr>
            <b/>
            <vertAlign val="superscript"/>
            <sz val="9"/>
            <rFont val="Tahoma"/>
            <family val="2"/>
          </rPr>
          <t>o</t>
        </r>
        <r>
          <rPr>
            <b/>
            <sz val="9"/>
            <rFont val="Tahoma"/>
            <family val="2"/>
          </rPr>
          <t xml:space="preserve"> turn = +31 sec ; 62?? yds slip
=======================================
--------------------------------------------
SEABEAR</t>
        </r>
        <r>
          <rPr>
            <sz val="9"/>
            <rFont val="Tahoma"/>
            <family val="2"/>
          </rPr>
          <t xml:space="preserve">
1/8/2000 ran bridge - 
8.376 kn W to E
8.288 kn E to W
avg 8.332 kn
prev races 8.268
Avg all - 8.289
Speed for lowest error 
on Stimson would have been 8.292
on Flag officers would have been 8.34 approx
USE =  8.31
3/4  use 8.31 - MBYC
3/10 cleaned bottom  &amp; retimed =8.402
N&amp;OT and Eagle Hbr
5/7/00 - revert tp original speed - 8.31??
  </t>
        </r>
      </text>
    </comment>
    <comment ref="N6" authorId="0">
      <text>
        <r>
          <rPr>
            <b/>
            <sz val="9"/>
            <rFont val="Tahoma"/>
            <family val="2"/>
          </rPr>
          <t>Bob Lindal:</t>
        </r>
        <r>
          <rPr>
            <sz val="9"/>
            <rFont val="Tahoma"/>
            <family val="2"/>
          </rPr>
          <t xml:space="preserve">
If no handicap - CLEAR this cell by typing "delete" key.  If handicap applies (usually in tidal waters) then type "X".</t>
        </r>
      </text>
    </comment>
    <comment ref="AX18" authorId="0">
      <text>
        <r>
          <rPr>
            <b/>
            <sz val="9"/>
            <rFont val="Tahoma"/>
            <family val="2"/>
          </rPr>
          <t>Bob Lindal:</t>
        </r>
        <r>
          <rPr>
            <sz val="9"/>
            <rFont val="Tahoma"/>
            <family val="2"/>
          </rPr>
          <t xml:space="preserve">
Timed run 9 thru 12 do not transfer to Observers Timimg Sheet,  you must add manually.  Excel only allows 7 agruments in a function.</t>
        </r>
      </text>
    </comment>
    <comment ref="AX10" authorId="0">
      <text>
        <r>
          <rPr>
            <b/>
            <sz val="9"/>
            <rFont val="Tahoma"/>
            <family val="2"/>
          </rPr>
          <t>Bob Lindal:</t>
        </r>
        <r>
          <rPr>
            <sz val="9"/>
            <rFont val="Tahoma"/>
            <family val="2"/>
          </rPr>
          <t xml:space="preserve">
Transfers to log sheets and Observers Timing Sheet (except TR 9 to 12).</t>
        </r>
      </text>
    </comment>
    <comment ref="AX3" authorId="0">
      <text>
        <r>
          <rPr>
            <b/>
            <sz val="9"/>
            <rFont val="Tahoma"/>
            <family val="2"/>
          </rPr>
          <t>Bob Lindal:</t>
        </r>
        <r>
          <rPr>
            <sz val="9"/>
            <rFont val="Tahoma"/>
            <family val="2"/>
          </rPr>
          <t xml:space="preserve">
Transfers to log sheets and Observers Timing Sheet (except TR 9 to 12).</t>
        </r>
      </text>
    </comment>
    <comment ref="AU9" authorId="0">
      <text>
        <r>
          <rPr>
            <b/>
            <sz val="9"/>
            <rFont val="Tahoma"/>
            <family val="2"/>
          </rPr>
          <t>Bob Lindal:</t>
        </r>
        <r>
          <rPr>
            <sz val="9"/>
            <rFont val="Tahoma"/>
            <family val="2"/>
          </rPr>
          <t xml:space="preserve">
The current correction that is applied uses the value in this column.</t>
        </r>
      </text>
    </comment>
    <comment ref="AG10" authorId="0">
      <text>
        <r>
          <rPr>
            <b/>
            <sz val="8"/>
            <rFont val="Tahoma"/>
            <family val="2"/>
          </rPr>
          <t>Bob Lindal:</t>
        </r>
        <r>
          <rPr>
            <sz val="8"/>
            <rFont val="Tahoma"/>
            <family val="2"/>
          </rPr>
          <t xml:space="preserve">
Insert actual marked or called time in this and all used legs below - leave unused legs blank-(they should not be showing if rows are hidden).
The  time at each CP is automatically copied from the last used row.  For a fast calculation of your results at the end of the race; enter only the actual start time in row 9 and the time at each control point in the last used row prior to each CP.  DON'T enter the value on the row enttitled CP 1, CP 2 etc. as those times are copied automatically from the last used row.</t>
        </r>
      </text>
    </comment>
    <comment ref="A58"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59"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60"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61"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62"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67"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68"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69"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70"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71"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76"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77"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78"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79"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80"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B81"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A57"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64"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65"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66"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73"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74"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75"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81" authorId="0">
      <text>
        <r>
          <rPr>
            <b/>
            <sz val="8"/>
            <rFont val="Tahoma"/>
            <family val="2"/>
          </rPr>
          <t>Bob Lindal:</t>
        </r>
        <r>
          <rPr>
            <sz val="8"/>
            <rFont val="Tahoma"/>
            <family val="2"/>
          </rPr>
          <t xml:space="preserve">
This is the finish if there are 8 main legs - ie the start plus 8 CPs and CP8 is the finish.  You can also type Finish in this cell.
The program automatically copies the leg number, description, where and offset from last used leg  unless a previous CP is the finish (if unused legs are left blank).
If a previous CP is the finish - delete the contents of this cell by typing the delete key.
Hide all unused rows, including unused CPs and you can rename the last CP to the "Finish" in column A, for ease of reading and to prevent erroneous entries.  Hide rows by highlighting the unwanted rows and clicking Format/Rows/Hide or right click the highlighted rows and click HIDE.
</t>
        </r>
      </text>
    </comment>
    <comment ref="B72"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D81"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F81"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G81"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I81"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J81"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D72"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F72"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G72"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I72"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J72"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D63"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F63"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G63"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I63"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J63"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F54"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G54"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I54"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J54"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G45"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I45"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J45"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F36"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I36"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J36"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F27"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G27"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I27"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J27"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G18"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I18"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J18"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N63"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N72"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G36"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J6" authorId="0">
      <text>
        <r>
          <rPr>
            <b/>
            <sz val="9"/>
            <rFont val="Tahoma"/>
            <family val="2"/>
          </rPr>
          <t xml:space="preserve">Bob Lindal:
TYPE ---- "YES" or "NO"
</t>
        </r>
        <r>
          <rPr>
            <sz val="9"/>
            <rFont val="Tahoma"/>
            <family val="2"/>
          </rPr>
          <t xml:space="preserve">
If no handicap - type "NO" in capital letters and nothing else (not even the quotes).  If handicap applies (usually in tidal waters) then type "YES" or anything else.</t>
        </r>
      </text>
    </comment>
    <comment ref="O7" authorId="0">
      <text>
        <r>
          <rPr>
            <b/>
            <sz val="8"/>
            <rFont val="Tahoma"/>
            <family val="2"/>
          </rPr>
          <t xml:space="preserve">Bob Lindal:  This Slip heading adjustment section is not mandatory as most racers plot their slip on their chart which then gives the adjusted heading.  In that case simply leave this section blank and hide all these columns and use the preceeding column entitled "Steer". 
The section is based on the actual measurement of slip for 45, 90,135 &amp; 180 degree turns.  I have also used the excel chart function to create a "best fit" equation and chart on the sheet entitled "Slip Heading Adjustment".  I will eventually link the Race sheet directly to the equation but then you must be able to measure your slip in turns, produce a chart and do the "best fit" to get an equation. Therefore I manually enter the slip which usually only matters for turns over 45 degrees . 
</t>
        </r>
      </text>
    </comment>
    <comment ref="F18"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E7" authorId="0">
      <text>
        <r>
          <rPr>
            <b/>
            <sz val="10"/>
            <rFont val="Tahoma"/>
            <family val="2"/>
          </rPr>
          <t>Bob Lindal:</t>
        </r>
        <r>
          <rPr>
            <sz val="10"/>
            <rFont val="Tahoma"/>
            <family val="2"/>
          </rPr>
          <t xml:space="preserve">
This column copies TR time so you have a quick reference during the race.</t>
        </r>
      </text>
    </comment>
    <comment ref="AJ89" authorId="0">
      <text>
        <r>
          <rPr>
            <b/>
            <sz val="9"/>
            <rFont val="Tahoma"/>
            <family val="2"/>
          </rPr>
          <t>Bob Lindal:</t>
        </r>
        <r>
          <rPr>
            <sz val="9"/>
            <rFont val="Tahoma"/>
            <family val="2"/>
          </rPr>
          <t xml:space="preserve">
This cell is set to 1 (no handicap) if "NO" in capital letters is typed in cell i6 (To the right of "Handicap" in row 6).
If "YES" or anything else is typed in cell i6,  then this cell is set to handicap for boat - usually in tidal waters.</t>
        </r>
      </text>
    </comment>
    <comment ref="A5" authorId="0">
      <text>
        <r>
          <rPr>
            <b/>
            <sz val="10"/>
            <rFont val="Tahoma"/>
            <family val="2"/>
          </rPr>
          <t>Bob Lindal:</t>
        </r>
        <r>
          <rPr>
            <sz val="10"/>
            <rFont val="Tahoma"/>
            <family val="2"/>
          </rPr>
          <t xml:space="preserve">
Navigator's or Helmsman's Name
</t>
        </r>
      </text>
    </comment>
    <comment ref="A4" authorId="0">
      <text>
        <r>
          <rPr>
            <b/>
            <sz val="10"/>
            <rFont val="Tahoma"/>
            <family val="2"/>
          </rPr>
          <t>Bob Lindal:</t>
        </r>
        <r>
          <rPr>
            <sz val="10"/>
            <rFont val="Tahoma"/>
            <family val="2"/>
          </rPr>
          <t xml:space="preserve">
Boat Name</t>
        </r>
      </text>
    </comment>
    <comment ref="B63"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N8" authorId="0">
      <text>
        <r>
          <rPr>
            <b/>
            <sz val="10"/>
            <rFont val="Tahoma"/>
            <family val="2"/>
          </rPr>
          <t>Bob Lindal:</t>
        </r>
        <r>
          <rPr>
            <sz val="10"/>
            <rFont val="Tahoma"/>
            <family val="2"/>
          </rPr>
          <t xml:space="preserve">
This Steer heading corrects for current set and the compass correction in the prior column.  The following columns up to the next steer corrects this heading for slip.</t>
        </r>
      </text>
    </comment>
    <comment ref="AG54"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AG63"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AG72"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AG81"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AG18"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AG27"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AG36"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AG45"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M8" authorId="0">
      <text>
        <r>
          <rPr>
            <b/>
            <sz val="10"/>
            <rFont val="Tahoma"/>
            <family val="2"/>
          </rPr>
          <t>Bob Lindal:</t>
        </r>
        <r>
          <rPr>
            <sz val="10"/>
            <rFont val="Tahoma"/>
            <family val="2"/>
          </rPr>
          <t xml:space="preserve">
You may manually enter compass corrections on this column (be sure you have the correct +/- to coorect the heading the right way).  The compass deviation table that your compoass adjuster can be used for this. It is possible to write a formula that automatically pulls the correction from a table based on the TRUE heading. I HAVE NOW DONE THIS FORMULA - 9-10-02.
Hide this column during the race.</t>
        </r>
      </text>
    </comment>
    <comment ref="F45"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D2" authorId="0">
      <text>
        <r>
          <rPr>
            <b/>
            <sz val="10"/>
            <rFont val="Tahoma"/>
            <family val="2"/>
          </rPr>
          <t>Bob Lindal:</t>
        </r>
        <r>
          <rPr>
            <sz val="10"/>
            <rFont val="Tahoma"/>
            <family val="2"/>
          </rPr>
          <t xml:space="preserve">
This address carries to log turn in sheets
</t>
        </r>
      </text>
    </comment>
    <comment ref="F2" authorId="0">
      <text>
        <r>
          <rPr>
            <b/>
            <sz val="10"/>
            <rFont val="Tahoma"/>
            <family val="2"/>
          </rPr>
          <t>Bob Lindal:</t>
        </r>
        <r>
          <rPr>
            <sz val="10"/>
            <rFont val="Tahoma"/>
            <family val="2"/>
          </rPr>
          <t xml:space="preserve">
This address carries to log turn in sheets.</t>
        </r>
      </text>
    </comment>
    <comment ref="G2" authorId="0">
      <text>
        <r>
          <rPr>
            <b/>
            <sz val="10"/>
            <rFont val="Tahoma"/>
            <family val="2"/>
          </rPr>
          <t>Bob Lindal:</t>
        </r>
        <r>
          <rPr>
            <sz val="10"/>
            <rFont val="Tahoma"/>
            <family val="2"/>
          </rPr>
          <t xml:space="preserve">
This phone number carries to log turn in sheets
</t>
        </r>
      </text>
    </comment>
    <comment ref="AO8" authorId="0">
      <text>
        <r>
          <rPr>
            <b/>
            <sz val="9"/>
            <rFont val="Tahoma"/>
            <family val="2"/>
          </rPr>
          <t>Bob Lindal:</t>
        </r>
        <r>
          <rPr>
            <sz val="9"/>
            <rFont val="Tahoma"/>
            <family val="2"/>
          </rPr>
          <t xml:space="preserve">
Turn time (col Q):
1)  when the previous leg course in deg true is greater than this leg
AND
2) when absolute value of the prev leg true deg less this leg is greater than 180 deg absolute 
(ie  285 deg  on prev leg and  55 deg on this leg)</t>
        </r>
      </text>
    </comment>
    <comment ref="AP8" authorId="0">
      <text>
        <r>
          <rPr>
            <b/>
            <sz val="9"/>
            <rFont val="Tahoma"/>
            <family val="2"/>
          </rPr>
          <t>Bob Lindal:</t>
        </r>
        <r>
          <rPr>
            <sz val="9"/>
            <rFont val="Tahoma"/>
            <family val="2"/>
          </rPr>
          <t xml:space="preserve">
Turn time (col Q):
1)  when the previous leg course in deg true is less than this leg
AND
2) when absolute value of the prev leg true deg less this leg is greater than 180 deg absolute 
(ie  55 deg  on prev leg and  285 deg on this leg)</t>
        </r>
      </text>
    </comment>
    <comment ref="AQ8" authorId="0">
      <text>
        <r>
          <rPr>
            <b/>
            <sz val="9"/>
            <rFont val="Tahoma"/>
            <family val="2"/>
          </rPr>
          <t>Bob Lindal:</t>
        </r>
        <r>
          <rPr>
            <sz val="9"/>
            <rFont val="Tahoma"/>
            <family val="2"/>
          </rPr>
          <t xml:space="preserve">
Turn time (col Q):
 when absolute value of the prev leg true deg less this leg is less than 180 deg absolute 
(ie  55 deg  on prev leg and  155 deg on this leg OR 70 on prev and 40 on this leg)</t>
        </r>
      </text>
    </comment>
    <comment ref="S3" authorId="0">
      <text>
        <r>
          <rPr>
            <b/>
            <sz val="10"/>
            <rFont val="Tahoma"/>
            <family val="2"/>
          </rPr>
          <t>Bob Lindal:</t>
        </r>
        <r>
          <rPr>
            <sz val="10"/>
            <rFont val="Tahoma"/>
            <family val="2"/>
          </rPr>
          <t xml:space="preserve">
You need to enter 2 turn rates , if you turn the same each way then enter the same value.</t>
        </r>
      </text>
    </comment>
    <comment ref="H2" authorId="0">
      <text>
        <r>
          <rPr>
            <b/>
            <sz val="8"/>
            <rFont val="Tahoma"/>
            <family val="2"/>
          </rPr>
          <t>Bob Lindal:</t>
        </r>
        <r>
          <rPr>
            <sz val="8"/>
            <rFont val="Tahoma"/>
            <family val="2"/>
          </rPr>
          <t xml:space="preserve">
This Zip Code carries to Log Forms
</t>
        </r>
      </text>
    </comment>
    <comment ref="A55"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56"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10"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11"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12"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13"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14"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15"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16"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17"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B18"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D18"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A19"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20"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21"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22"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23"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24"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25"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26"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B27"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D27"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A28"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29"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30"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31"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32"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33"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34"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35"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B36"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D36"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A37"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38"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39"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40"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41"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42"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43"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44"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B45"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D45"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A46"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47"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48"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49"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50"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51"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52"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A53" authorId="0">
      <text>
        <r>
          <rPr>
            <b/>
            <sz val="8"/>
            <rFont val="Tahoma"/>
            <family val="2"/>
          </rPr>
          <t>Bob Lindal: the word "SLOW" in capital letters must be entered in these cells wherever a slow ie 7 kn max speed is needed.  Enter a "C" for all other legs. 
The correct cell from F4 or F5 is inserted in speed  column ("K").</t>
        </r>
        <r>
          <rPr>
            <sz val="8"/>
            <rFont val="Tahoma"/>
            <family val="2"/>
          </rPr>
          <t xml:space="preserve">
</t>
        </r>
      </text>
    </comment>
    <comment ref="B54"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D54"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G3" authorId="0">
      <text>
        <r>
          <rPr>
            <b/>
            <sz val="8"/>
            <rFont val="Tahoma"/>
            <family val="2"/>
          </rPr>
          <t>Bob Lindal:</t>
        </r>
        <r>
          <rPr>
            <sz val="8"/>
            <rFont val="Tahoma"/>
            <family val="2"/>
          </rPr>
          <t xml:space="preserve">
This email address trnsfer automatically to the Log Sheets.</t>
        </r>
      </text>
    </comment>
    <comment ref="N18"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N27"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N36"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N45"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N54"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Hide all unused rows for ease of reading.</t>
        </r>
      </text>
    </comment>
    <comment ref="AJ84" authorId="0">
      <text>
        <r>
          <rPr>
            <b/>
            <sz val="9"/>
            <rFont val="Tahoma"/>
            <family val="2"/>
          </rPr>
          <t>Bob Lindal:</t>
        </r>
        <r>
          <rPr>
            <sz val="9"/>
            <rFont val="Tahoma"/>
            <family val="2"/>
          </rPr>
          <t xml:space="preserve">
This cell is set to 1 (no handicap) if "NO" in capital letters is typed in cell i6 (To the right of "Handicap" in row 6).
If "YES" or anything else is typed in cell i6,  then this cell is set to handicap for boat - usually in tidal waters.</t>
        </r>
      </text>
    </comment>
    <comment ref="AL1" authorId="0">
      <text>
        <r>
          <rPr>
            <b/>
            <sz val="8"/>
            <rFont val="Tahoma"/>
            <family val="2"/>
          </rPr>
          <t>Bob Lindal:</t>
        </r>
        <r>
          <rPr>
            <sz val="8"/>
            <rFont val="Tahoma"/>
            <family val="2"/>
          </rPr>
          <t xml:space="preserve">
Use columns with this color to analysis predicted versus actual and apparent currents. </t>
        </r>
      </text>
    </comment>
    <comment ref="AK1" authorId="0">
      <text>
        <r>
          <rPr>
            <b/>
            <sz val="8"/>
            <rFont val="Tahoma"/>
            <family val="2"/>
          </rPr>
          <t>Bob Lindal:</t>
        </r>
        <r>
          <rPr>
            <sz val="8"/>
            <rFont val="Tahoma"/>
            <family val="2"/>
          </rPr>
          <t xml:space="preserve">
Use columns with this color to analysis predicted versus actual and apparent currents. </t>
        </r>
      </text>
    </comment>
    <comment ref="AJ1" authorId="0">
      <text>
        <r>
          <rPr>
            <b/>
            <sz val="8"/>
            <rFont val="Tahoma"/>
            <family val="2"/>
          </rPr>
          <t>Bob Lindal:</t>
        </r>
        <r>
          <rPr>
            <sz val="8"/>
            <rFont val="Tahoma"/>
            <family val="2"/>
          </rPr>
          <t xml:space="preserve">
Use columns with this color to analysis predicted versus actual and apparent currents. </t>
        </r>
      </text>
    </comment>
    <comment ref="V18"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This cell shows the speed used in last used row in previous leg  - either SLOW or C (for Cruise).
Hide all unused rows for ease of reading.</t>
        </r>
      </text>
    </comment>
    <comment ref="V27"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This cell shows the speed used in last used row in previous leg  - either SLOW or C (for Cruise).
Hide all unused rows for ease of reading.</t>
        </r>
      </text>
    </comment>
    <comment ref="V36"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This cell shows the speed used in last used row in previous leg  - either SLOW or C (for Cruise).
Hide all unused rows for ease of reading.</t>
        </r>
      </text>
    </comment>
    <comment ref="V45"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This cell shows the speed used in last used row in previous leg  - either SLOW or C (for Cruise).
Hide all unused rows for ease of reading.</t>
        </r>
      </text>
    </comment>
    <comment ref="V54"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This cell shows the speed used in last used row in previous leg  - either SLOW or C (for Cruise).
Hide all unused rows for ease of reading.</t>
        </r>
      </text>
    </comment>
    <comment ref="V63"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This cell shows the speed used in last used row in previous leg  - either SLOW or C (for Cruise).
Hide all unused rows for ease of reading.</t>
        </r>
      </text>
    </comment>
    <comment ref="V72" authorId="0">
      <text>
        <r>
          <rPr>
            <b/>
            <sz val="8"/>
            <rFont val="Tahoma"/>
            <family val="2"/>
          </rPr>
          <t>Bob Lindal:</t>
        </r>
        <r>
          <rPr>
            <sz val="8"/>
            <rFont val="Tahoma"/>
            <family val="2"/>
          </rPr>
          <t xml:space="preserve">
This cell is copied automatically from last used leg - if cells for unused legs (column B) are left blank by typing "delete" key.  If a previous CP is the finish this cell is Blank.
This cell shows the speed used in last used row in previous leg  - either SLOW or C (for Cruise).
Hide all unused rows for ease of reading.</t>
        </r>
      </text>
    </comment>
    <comment ref="T10" authorId="0">
      <text>
        <r>
          <rPr>
            <b/>
            <sz val="8"/>
            <rFont val="Tahoma"/>
            <family val="2"/>
          </rPr>
          <t>Bob Lindal:</t>
        </r>
        <r>
          <rPr>
            <sz val="8"/>
            <rFont val="Tahoma"/>
            <family val="2"/>
          </rPr>
          <t xml:space="preserve">
Use standing start time unless it is a running start when this cell should be zero.</t>
        </r>
      </text>
    </comment>
    <comment ref="P3" authorId="0">
      <text>
        <r>
          <rPr>
            <b/>
            <sz val="8"/>
            <rFont val="Tahoma"/>
            <family val="2"/>
          </rPr>
          <t>Bob Lindal:</t>
        </r>
        <r>
          <rPr>
            <sz val="8"/>
            <rFont val="Tahoma"/>
            <family val="2"/>
          </rPr>
          <t xml:space="preserve">
This should be a negative number, as you initially are going faster and will take less time than using the slow speed for the whole leg.</t>
        </r>
      </text>
    </comment>
    <comment ref="P4" authorId="0">
      <text>
        <r>
          <rPr>
            <b/>
            <sz val="8"/>
            <rFont val="Tahoma"/>
            <family val="2"/>
          </rPr>
          <t>Bob Lindal:</t>
        </r>
        <r>
          <rPr>
            <sz val="8"/>
            <rFont val="Tahoma"/>
            <family val="2"/>
          </rPr>
          <t xml:space="preserve">
This should be a positive number, as you initially are going slower and will take lmore time than using the cruise speed for the whole leg.</t>
        </r>
      </text>
    </comment>
    <comment ref="G4" authorId="0">
      <text>
        <r>
          <rPr>
            <b/>
            <sz val="10"/>
            <rFont val="Tahoma"/>
            <family val="2"/>
          </rPr>
          <t>Bob Lindal:</t>
        </r>
        <r>
          <rPr>
            <sz val="10"/>
            <rFont val="Tahoma"/>
            <family val="2"/>
          </rPr>
          <t xml:space="preserve">
This phone number carries to log turn in sheets
</t>
        </r>
      </text>
    </comment>
    <comment ref="AC1" authorId="0">
      <text>
        <r>
          <rPr>
            <b/>
            <sz val="8"/>
            <rFont val="Tahoma"/>
            <family val="2"/>
          </rPr>
          <t>Bob Lindal:Printing 
We print 2 version for the Race 
1 - all columns up to this Column  to use at helm and the observer can see.
2 - another up to column headed "PRINT 2" with all times etc for refernce that we keep in file and do not show the times to observer.</t>
        </r>
        <r>
          <rPr>
            <sz val="8"/>
            <rFont val="Tahoma"/>
            <family val="2"/>
          </rPr>
          <t xml:space="preserve">
</t>
        </r>
      </text>
    </comment>
    <comment ref="AG9" authorId="0">
      <text>
        <r>
          <rPr>
            <b/>
            <sz val="8"/>
            <rFont val="Tahoma"/>
            <family val="2"/>
          </rPr>
          <t>Bob Lindal:Insert actual start time</t>
        </r>
        <r>
          <rPr>
            <sz val="8"/>
            <rFont val="Tahoma"/>
            <family val="2"/>
          </rPr>
          <t xml:space="preserve">
Use a spacebar or single quote  (') before each entry- ie.  '12:00:00 for noon and use 24 hr clock.</t>
        </r>
      </text>
    </comment>
    <comment ref="AH7" authorId="0">
      <text>
        <r>
          <rPr>
            <b/>
            <sz val="8"/>
            <rFont val="Tahoma"/>
            <family val="2"/>
          </rPr>
          <t>Bob Lindal:</t>
        </r>
        <r>
          <rPr>
            <sz val="8"/>
            <rFont val="Tahoma"/>
            <family val="2"/>
          </rPr>
          <t xml:space="preserve">
ADDED Time out column 11/12 - enter any Time Outs in the contest leg ie cell AH18, AH27 etc. - If you also want error and results analysis on the actual intermediate leg in which the Time Out occurred then enter it on the line for that leg AS WELL (ie cell AH12, AH20 etc. - use 'HR:MIN:SEC format
</t>
        </r>
      </text>
    </comment>
    <comment ref="E1" authorId="0">
      <text>
        <r>
          <rPr>
            <b/>
            <sz val="8"/>
            <rFont val="Tahoma"/>
            <family val="2"/>
          </rPr>
          <t>Bob Lindal: CREATE YOUR OWN MASTER
Replace all the generic data in the cells A1  thru W6 with your personal data and your boat data. Then save this as YOUR MASTER. Always start a new race with your MASTER and save and rename it as the current data spreadsheet. To hide this comment box: simply right click on the box and select "Hide Comment".</t>
        </r>
        <r>
          <rPr>
            <sz val="8"/>
            <rFont val="Tahoma"/>
            <family val="2"/>
          </rPr>
          <t xml:space="preserve">
</t>
        </r>
      </text>
    </comment>
    <comment ref="F10" authorId="1">
      <text>
        <r>
          <rPr>
            <b/>
            <sz val="9"/>
            <rFont val="Tahoma"/>
            <family val="2"/>
          </rPr>
          <t>James Anderson:</t>
        </r>
        <r>
          <rPr>
            <sz val="9"/>
            <rFont val="Tahoma"/>
            <family val="2"/>
          </rPr>
          <t xml:space="preserve">
</t>
        </r>
        <r>
          <rPr>
            <b/>
            <sz val="12"/>
            <rFont val="Tahoma"/>
            <family val="2"/>
          </rPr>
          <t xml:space="preserve">
1.  Enter date and finish time as text as below, example; "6/29/91 or "15:00:00 - use ' or " (excel recognizes these symbols as "text")
2.  If true course or set of current is due north,   enter as 360 not 0
3. All entries you make should show as BLUE TEXT. 
4. </t>
        </r>
        <r>
          <rPr>
            <b/>
            <sz val="14"/>
            <rFont val="Tahoma"/>
            <family val="2"/>
          </rPr>
          <t>ENTER DATA IN YELLOW HIGHLIGHTED CELLS ONLY</t>
        </r>
        <r>
          <rPr>
            <b/>
            <sz val="12"/>
            <rFont val="Tahoma"/>
            <family val="2"/>
          </rPr>
          <t xml:space="preserve">
5. When you make an entry  which shows up black, click undo and see if there is a formula which  may be automatically calculated.  
6. Hide columns in Red type as they are ot used during the race and any unused rows for legs or CPs [To hide rows, highlite rows by "left click" row numbers, click the right mouse button to open a selection box, then use the left button to click on "hide"]
7. Hide this (or any) comment by "right click" on cell with red triangle and click on "hide comment".</t>
        </r>
      </text>
    </comment>
  </commentList>
</comments>
</file>

<file path=xl/comments6.xml><?xml version="1.0" encoding="utf-8"?>
<comments xmlns="http://schemas.openxmlformats.org/spreadsheetml/2006/main">
  <authors>
    <author>Bob Lindal</author>
    <author>James Anderson</author>
  </authors>
  <commentList>
    <comment ref="M10" authorId="0">
      <text>
        <r>
          <rPr>
            <b/>
            <sz val="8"/>
            <rFont val="Tahoma"/>
            <family val="2"/>
          </rPr>
          <t>Bob Lindal:</t>
        </r>
        <r>
          <rPr>
            <sz val="8"/>
            <rFont val="Tahoma"/>
            <family val="2"/>
          </rPr>
          <t xml:space="preserve">
I sometimes record or ask observer to record the wind speed and RPM corrections on each leg so I can see the effect when I analyse the race.</t>
        </r>
      </text>
    </comment>
    <comment ref="N10" authorId="0">
      <text>
        <r>
          <rPr>
            <b/>
            <sz val="8"/>
            <rFont val="Tahoma"/>
            <family val="2"/>
          </rPr>
          <t>Bob Lindal:</t>
        </r>
        <r>
          <rPr>
            <sz val="8"/>
            <rFont val="Tahoma"/>
            <family val="2"/>
          </rPr>
          <t xml:space="preserve">
I sometimes record or ask observer to record the wind speed and RPM corrections on each leg so I can see the effect when I analyse the race.</t>
        </r>
      </text>
    </comment>
    <comment ref="I10" authorId="0">
      <text>
        <r>
          <rPr>
            <b/>
            <sz val="8"/>
            <rFont val="Tahoma"/>
            <family val="2"/>
          </rPr>
          <t>Bob Lindal:</t>
        </r>
        <r>
          <rPr>
            <sz val="8"/>
            <rFont val="Tahoma"/>
            <family val="2"/>
          </rPr>
          <t xml:space="preserve">
Insert time in these boxes - write seconds first then minutes and finally hours.</t>
        </r>
      </text>
    </comment>
    <comment ref="J10" authorId="0">
      <text>
        <r>
          <rPr>
            <b/>
            <sz val="8"/>
            <rFont val="Tahoma"/>
            <family val="2"/>
          </rPr>
          <t>Bob Lindal:</t>
        </r>
        <r>
          <rPr>
            <sz val="8"/>
            <rFont val="Tahoma"/>
            <family val="2"/>
          </rPr>
          <t xml:space="preserve">
Insert time in these boxes - write seconds first then minutes and finally hours.</t>
        </r>
      </text>
    </comment>
    <comment ref="K10" authorId="0">
      <text>
        <r>
          <rPr>
            <b/>
            <sz val="8"/>
            <rFont val="Tahoma"/>
            <family val="2"/>
          </rPr>
          <t>Bob Lindal:</t>
        </r>
        <r>
          <rPr>
            <sz val="8"/>
            <rFont val="Tahoma"/>
            <family val="2"/>
          </rPr>
          <t xml:space="preserve">
Insert time in these boxes - write seconds first then minutes and finally hours.</t>
        </r>
      </text>
    </comment>
    <comment ref="C2" authorId="0">
      <text>
        <r>
          <rPr>
            <b/>
            <sz val="8"/>
            <rFont val="Tahoma"/>
            <family val="2"/>
          </rPr>
          <t>Bob Lindal:</t>
        </r>
        <r>
          <rPr>
            <sz val="8"/>
            <rFont val="Tahoma"/>
            <family val="2"/>
          </rPr>
          <t xml:space="preserve">
This prepared sheet allows observer to record times in your format.  I place a blank half width cover sheet over the time entry area and put both on a clip board..
Hide all unused rows.  Also hide last leg prior to each CP as it is the same as CP time, you do not need or want to have 2 places to add the same time.</t>
        </r>
      </text>
    </comment>
    <comment ref="R2" authorId="1">
      <text>
        <r>
          <rPr>
            <b/>
            <sz val="9"/>
            <rFont val="Tahoma"/>
            <family val="2"/>
          </rPr>
          <t>James Anderson:</t>
        </r>
        <r>
          <rPr>
            <sz val="9"/>
            <rFont val="Tahoma"/>
            <family val="2"/>
          </rPr>
          <t xml:space="preserve">
</t>
        </r>
        <r>
          <rPr>
            <b/>
            <sz val="14"/>
            <rFont val="Tahoma"/>
            <family val="2"/>
          </rPr>
          <t xml:space="preserve">NOTE: Hide the following rows:
1. All unused rows
2. Also hide the "CP" row not highlighted in yellow to avoid observer confustion
3. As an alternate, if you do not care to know the "time of day" for intermediate legs, hide all rows not highlighted in yellow so only the yellow CP rows are visible for printing.
</t>
        </r>
      </text>
    </comment>
  </commentList>
</comments>
</file>

<file path=xl/sharedStrings.xml><?xml version="1.0" encoding="utf-8"?>
<sst xmlns="http://schemas.openxmlformats.org/spreadsheetml/2006/main" count="842" uniqueCount="435">
  <si>
    <t>TURN TIME LOST DATA</t>
  </si>
  <si>
    <t>1/15/92</t>
  </si>
  <si>
    <t>Formula: Theoretical (Immediately in turn and turning perfect circle)</t>
  </si>
  <si>
    <t xml:space="preserve">   </t>
  </si>
  <si>
    <t>Time Lost = A/R - (57.3/R)*(St/S)*Sin A</t>
  </si>
  <si>
    <t xml:space="preserve">Probable: additional 6 seconds for 180 Degree </t>
  </si>
  <si>
    <t>Time Lost = A/R -(57.3/R)*(St/S)*Sin A + A*6/180 (to 180 Degrees)</t>
  </si>
  <si>
    <t xml:space="preserve">Where: </t>
  </si>
  <si>
    <t>A = Angle of turn in degrees</t>
  </si>
  <si>
    <t xml:space="preserve">  </t>
  </si>
  <si>
    <t>R = Turn rate in degrees/second</t>
  </si>
  <si>
    <t>St = Boat speed during the turn (assume equal to S)</t>
  </si>
  <si>
    <t>S = Boat speed normally</t>
  </si>
  <si>
    <t>THEORETICAL TURN TIME LOST</t>
  </si>
  <si>
    <t>TURN</t>
  </si>
  <si>
    <t>TURN RATE - Deg/Sec</t>
  </si>
  <si>
    <t>ANGLE</t>
  </si>
  <si>
    <t>NORMAL TURN TIME LOST</t>
  </si>
  <si>
    <t>I have also included Al's original turn time lost excel program on a separate worksheet.</t>
  </si>
  <si>
    <t>Contest:</t>
  </si>
  <si>
    <t>1.  Enter date and finish time as text as below,</t>
  </si>
  <si>
    <t>RPM</t>
  </si>
  <si>
    <t>Speed</t>
  </si>
  <si>
    <t>Variation:</t>
  </si>
  <si>
    <t>2.  If true course or set of current is due north,</t>
  </si>
  <si>
    <t>Turn Rate:</t>
  </si>
  <si>
    <t xml:space="preserve">    enter as 360 not 0.</t>
  </si>
  <si>
    <t>----- Current Correction -----</t>
  </si>
  <si>
    <t xml:space="preserve">    Next Point Identification</t>
  </si>
  <si>
    <t xml:space="preserve">  Course</t>
  </si>
  <si>
    <t>Dist</t>
  </si>
  <si>
    <t>---- Time - Seconds -----</t>
  </si>
  <si>
    <t xml:space="preserve">  Time</t>
  </si>
  <si>
    <t>Time-Day</t>
  </si>
  <si>
    <t>Leg</t>
  </si>
  <si>
    <t>Set</t>
  </si>
  <si>
    <t>Drift</t>
  </si>
  <si>
    <t xml:space="preserve"> Eff. Speed</t>
  </si>
  <si>
    <t>Correct</t>
  </si>
  <si>
    <t>Time of</t>
  </si>
  <si>
    <t xml:space="preserve">Run </t>
  </si>
  <si>
    <t>Error</t>
  </si>
  <si>
    <t>Appar.</t>
  </si>
  <si>
    <t>CP</t>
  </si>
  <si>
    <t>Description</t>
  </si>
  <si>
    <t>Where</t>
  </si>
  <si>
    <t>Offset</t>
  </si>
  <si>
    <t>True</t>
  </si>
  <si>
    <t>Mag</t>
  </si>
  <si>
    <t>NM</t>
  </si>
  <si>
    <t>Knots</t>
  </si>
  <si>
    <t>Flat</t>
  </si>
  <si>
    <t>Turn</t>
  </si>
  <si>
    <t>Current</t>
  </si>
  <si>
    <t>HR:MN:SEC</t>
  </si>
  <si>
    <t>Day</t>
  </si>
  <si>
    <t>Time</t>
  </si>
  <si>
    <t>Sec.</t>
  </si>
  <si>
    <t>Start</t>
  </si>
  <si>
    <t>Total</t>
  </si>
  <si>
    <t>Gross Error %</t>
  </si>
  <si>
    <t>Official Mileage</t>
  </si>
  <si>
    <t>Handicap</t>
  </si>
  <si>
    <t>Predicted Speed</t>
  </si>
  <si>
    <t>Net Error %</t>
  </si>
  <si>
    <t>kn</t>
  </si>
  <si>
    <t>Distance</t>
  </si>
  <si>
    <t>yds</t>
  </si>
  <si>
    <t>Predicted</t>
  </si>
  <si>
    <t>Apparent</t>
  </si>
  <si>
    <t>SLOW</t>
  </si>
  <si>
    <t>Sec/nm</t>
  </si>
  <si>
    <t xml:space="preserve"> + 10%</t>
  </si>
  <si>
    <t xml:space="preserve"> -10%</t>
  </si>
  <si>
    <t>Steer</t>
  </si>
  <si>
    <t>Results -Analysis</t>
  </si>
  <si>
    <t>Sec</t>
  </si>
  <si>
    <t xml:space="preserve"> </t>
  </si>
  <si>
    <t>C</t>
  </si>
  <si>
    <t xml:space="preserve">      example; "6/29/91 or "15:00:00 - use ' or "</t>
  </si>
  <si>
    <t>HOURS</t>
  </si>
  <si>
    <t>MIN</t>
  </si>
  <si>
    <t>SEC</t>
  </si>
  <si>
    <t>INSTRUCTIONS</t>
  </si>
  <si>
    <t xml:space="preserve">3. All entries should be </t>
  </si>
  <si>
    <t>BLUE</t>
  </si>
  <si>
    <t>4. If entry is black, check as it may be auto calculated.</t>
  </si>
  <si>
    <t>--------- Actual Performance ------</t>
  </si>
  <si>
    <t>5. Hide columns in</t>
  </si>
  <si>
    <t>RED.</t>
  </si>
  <si>
    <t>RPM/kn</t>
  </si>
  <si>
    <t xml:space="preserve">See instructions by pointing to cells with red corner </t>
  </si>
  <si>
    <t xml:space="preserve">      RPM min/max</t>
  </si>
  <si>
    <t xml:space="preserve">     Race info</t>
  </si>
  <si>
    <t xml:space="preserve">Class = </t>
  </si>
  <si>
    <t>Race Date:</t>
  </si>
  <si>
    <t>Kn</t>
  </si>
  <si>
    <t>Slow</t>
  </si>
  <si>
    <t>Handicap =</t>
  </si>
  <si>
    <t>Print 1</t>
  </si>
  <si>
    <t>Boat Name:</t>
  </si>
  <si>
    <t>#</t>
  </si>
  <si>
    <t>Course</t>
  </si>
  <si>
    <t>Stbd</t>
  </si>
  <si>
    <t>Actual Start</t>
  </si>
  <si>
    <t>Yes</t>
  </si>
  <si>
    <t>No</t>
  </si>
  <si>
    <t>CONTESTANT WAIVER</t>
  </si>
  <si>
    <t>IPBA#</t>
  </si>
  <si>
    <t xml:space="preserve">compass </t>
  </si>
  <si>
    <t>course</t>
  </si>
  <si>
    <t>Timed Run Analysis</t>
  </si>
  <si>
    <t>TR #</t>
  </si>
  <si>
    <t>EFFECT OF WIND ON BOAT PERFORMANCE</t>
  </si>
  <si>
    <t>|</t>
  </si>
  <si>
    <t xml:space="preserve">    Required Change in RPM</t>
  </si>
  <si>
    <t>Speed    :</t>
  </si>
  <si>
    <t>RPM/100  :</t>
  </si>
  <si>
    <t>Factor   :</t>
  </si>
  <si>
    <t>REL</t>
  </si>
  <si>
    <t>WIND</t>
  </si>
  <si>
    <t>0</t>
  </si>
  <si>
    <t>15</t>
  </si>
  <si>
    <t>30</t>
  </si>
  <si>
    <t>45</t>
  </si>
  <si>
    <t>60</t>
  </si>
  <si>
    <t>75</t>
  </si>
  <si>
    <t>90</t>
  </si>
  <si>
    <t>105</t>
  </si>
  <si>
    <t>120</t>
  </si>
  <si>
    <t>135</t>
  </si>
  <si>
    <t>150</t>
  </si>
  <si>
    <t>180</t>
  </si>
  <si>
    <t xml:space="preserve">Adapted from table presented in article "Grants Corner" </t>
  </si>
  <si>
    <t>by E. F. Grant in NACA Cruiser Log dated October 1995</t>
  </si>
  <si>
    <t>DOG LEG CORRECTION TABLE</t>
  </si>
  <si>
    <t>Boat Name          :</t>
  </si>
  <si>
    <t>Baseline Speed   :</t>
  </si>
  <si>
    <t>Speed Sensitivity:</t>
  </si>
  <si>
    <t>RPM/Knot</t>
  </si>
  <si>
    <t xml:space="preserve">    Course</t>
  </si>
  <si>
    <t xml:space="preserve">  Percent</t>
  </si>
  <si>
    <t xml:space="preserve">   Speed</t>
  </si>
  <si>
    <t xml:space="preserve">    RPM</t>
  </si>
  <si>
    <t xml:space="preserve">    Offset</t>
  </si>
  <si>
    <t xml:space="preserve">  Increase</t>
  </si>
  <si>
    <t xml:space="preserve">    Degrees</t>
  </si>
  <si>
    <t xml:space="preserve">  Required</t>
  </si>
  <si>
    <t xml:space="preserve">   Knots</t>
  </si>
  <si>
    <t>CRUISE</t>
  </si>
  <si>
    <t>SLOW Speed</t>
  </si>
  <si>
    <t>CRUISE Speed</t>
  </si>
  <si>
    <t>RPM Port/Sgl</t>
  </si>
  <si>
    <t>RPM Stbd</t>
  </si>
  <si>
    <t>info</t>
  </si>
  <si>
    <t>Finish =</t>
  </si>
  <si>
    <t>degrees - used in current correction</t>
  </si>
  <si>
    <t>GENERAL INSTRUCTIONS</t>
  </si>
  <si>
    <t>Slip</t>
  </si>
  <si>
    <t>angle</t>
  </si>
  <si>
    <t>leg</t>
  </si>
  <si>
    <t xml:space="preserve"> Handicap =</t>
  </si>
  <si>
    <t>Observer's Timing Sheet</t>
  </si>
  <si>
    <t>Al Smith</t>
  </si>
  <si>
    <t>Midpt</t>
  </si>
  <si>
    <t>FLAG ANGLE</t>
  </si>
  <si>
    <t>Timed</t>
  </si>
  <si>
    <t>Run</t>
  </si>
  <si>
    <t xml:space="preserve">  Timed Run </t>
  </si>
  <si>
    <t>Cruise:</t>
  </si>
  <si>
    <t>I can add additional intermediate legs or CPs,  if needed.</t>
  </si>
  <si>
    <t>bobl@lindal.com</t>
  </si>
  <si>
    <t>206-892-1234</t>
  </si>
  <si>
    <t>206-938-1577</t>
  </si>
  <si>
    <t>This is based on the QCYC excel spreadsheet that I got from Ken Klett and Carl Weiss.</t>
  </si>
  <si>
    <t xml:space="preserve"> QCYC P/C W. Allen  (Al)  Smith wrote the original program. </t>
  </si>
  <si>
    <t xml:space="preserve">I have made numerous changes and believe I have modified it so </t>
  </si>
  <si>
    <t xml:space="preserve">you can use for any number of CPs up to 8  (ie 8 main legs) </t>
  </si>
  <si>
    <t xml:space="preserve">and a max of 8 intermediate legs per CP.  see comments in cells A81 and B81 at "Finish".  </t>
  </si>
  <si>
    <t>1.  Enter date and finish time as text as below, example; "6/29/91 or "15:00:00 - use ' or "</t>
  </si>
  <si>
    <t xml:space="preserve">3. All entries should show as Blue </t>
  </si>
  <si>
    <t xml:space="preserve">4. When you make an entry  which shows up black, click undo and see if there is a formula which  may be automatically calculated.  </t>
  </si>
  <si>
    <t>===============================================</t>
  </si>
  <si>
    <t>==============================================</t>
  </si>
  <si>
    <t xml:space="preserve">The following is the original instructions from Al Smith which I have added </t>
  </si>
  <si>
    <t>for additional explanation 10/26/00.</t>
  </si>
  <si>
    <t>They explain a lot of his original thinking to create the program.</t>
  </si>
  <si>
    <t>I have also included a recent memo from Al expanding on the instructions.</t>
  </si>
  <si>
    <t>(Al Smith's original program referred to in Instructions)</t>
  </si>
  <si>
    <t xml:space="preserve">There are extensive help comments embedded in the individual cells of the worksheet.  </t>
  </si>
  <si>
    <t>Simply place the cursor over any cell that has a red triangle in it's upper right corner and</t>
  </si>
  <si>
    <t>a comment dialogue box will appear regarding that cell and its usage.</t>
  </si>
  <si>
    <t>Corr</t>
  </si>
  <si>
    <t>Offset - in degrees R or L</t>
  </si>
  <si>
    <t>NACA#</t>
  </si>
  <si>
    <t>Aim at - Front Range</t>
  </si>
  <si>
    <t>Aim Astern - Back Range</t>
  </si>
  <si>
    <t xml:space="preserve">Speed Change </t>
  </si>
  <si>
    <t xml:space="preserve">Slow to cruise = </t>
  </si>
  <si>
    <t>Yd/sec</t>
  </si>
  <si>
    <t>Questions???? - Feel free to call me at 209-892-1234 or email BOBL@Lindal.com.</t>
  </si>
  <si>
    <t>Stbd Turn Rate</t>
  </si>
  <si>
    <t xml:space="preserve"> Degrees</t>
  </si>
  <si>
    <t>Increase</t>
  </si>
  <si>
    <t>SLOW:</t>
  </si>
  <si>
    <t>Hurt over</t>
  </si>
  <si>
    <t>Max RPM</t>
  </si>
  <si>
    <t>TR# Leg</t>
  </si>
  <si>
    <t>MAX</t>
  </si>
  <si>
    <t>STARTING POINT</t>
  </si>
  <si>
    <t>Predicted Start</t>
  </si>
  <si>
    <t>Difference From</t>
  </si>
  <si>
    <t>Predicted start</t>
  </si>
  <si>
    <t>TOTALS</t>
  </si>
  <si>
    <t>TR#</t>
  </si>
  <si>
    <t>Leg#</t>
  </si>
  <si>
    <t>YES</t>
  </si>
  <si>
    <t>5</t>
  </si>
  <si>
    <t xml:space="preserve">Cross </t>
  </si>
  <si>
    <t>Next Point Identification</t>
  </si>
  <si>
    <t>Single/Port</t>
  </si>
  <si>
    <t>BASIC</t>
  </si>
  <si>
    <t>ACTUAL RESULTS</t>
  </si>
  <si>
    <t>Max</t>
  </si>
  <si>
    <t>5 min</t>
  </si>
  <si>
    <t>CP#</t>
  </si>
  <si>
    <t>Actual Run time</t>
  </si>
  <si>
    <t>Fast</t>
  </si>
  <si>
    <t>Did contestant comply with RPM as shown?……………………………</t>
  </si>
  <si>
    <t xml:space="preserve">Turn </t>
  </si>
  <si>
    <t>Boat Name</t>
  </si>
  <si>
    <t>city, state/prov</t>
  </si>
  <si>
    <t>Zip</t>
  </si>
  <si>
    <t>Time Lost</t>
  </si>
  <si>
    <t>Slip Corr</t>
  </si>
  <si>
    <t>Angle</t>
  </si>
  <si>
    <t>Port</t>
  </si>
  <si>
    <t>BobL@lindal.com</t>
  </si>
  <si>
    <t>Enter Contest Name</t>
  </si>
  <si>
    <t>Club</t>
  </si>
  <si>
    <t>Note: change on 5-29-03 added rounding to formulas in Columns AN &amp; AO so turn times would sum properly.</t>
  </si>
  <si>
    <t>CHECK LIST</t>
  </si>
  <si>
    <t>Day before Race</t>
  </si>
  <si>
    <t>print excel sheets</t>
  </si>
  <si>
    <t>race form- 2 versions - color</t>
  </si>
  <si>
    <t>RPM correction sheets</t>
  </si>
  <si>
    <t>log forms</t>
  </si>
  <si>
    <t>print chart and tape</t>
  </si>
  <si>
    <t>color</t>
  </si>
  <si>
    <t>large charts for ranges</t>
  </si>
  <si>
    <t>photos??</t>
  </si>
  <si>
    <t>Morning of Race</t>
  </si>
  <si>
    <t>Computer</t>
  </si>
  <si>
    <t>- connect GPS</t>
  </si>
  <si>
    <t>last printing?</t>
  </si>
  <si>
    <t>CHECK GPS time - set computer and printer times</t>
  </si>
  <si>
    <t>Just before race - 1/2 hr</t>
  </si>
  <si>
    <t>cover up</t>
  </si>
  <si>
    <t>clocks</t>
  </si>
  <si>
    <t>knotlog</t>
  </si>
  <si>
    <t>hourmeters</t>
  </si>
  <si>
    <t>computer</t>
  </si>
  <si>
    <t xml:space="preserve">turn off </t>
  </si>
  <si>
    <t>clock</t>
  </si>
  <si>
    <t>sounds</t>
  </si>
  <si>
    <t>screen saver</t>
  </si>
  <si>
    <t>set tracking to 6 sec</t>
  </si>
  <si>
    <t>set inverter on</t>
  </si>
  <si>
    <t>check charger lite after switch to inverter</t>
  </si>
  <si>
    <t>test F5 key</t>
  </si>
  <si>
    <t xml:space="preserve">check tracking and logging </t>
  </si>
  <si>
    <t>10 min before start</t>
  </si>
  <si>
    <t>toggle tracking off then on - to decrease track size</t>
  </si>
  <si>
    <t xml:space="preserve"> - set to UI during race and shrink display</t>
  </si>
  <si>
    <t>Timers</t>
  </si>
  <si>
    <t>need 2</t>
  </si>
  <si>
    <t>preset for TR1</t>
  </si>
  <si>
    <t>sit at start to observe currents etc - look at ranges</t>
  </si>
  <si>
    <t>warm up engines</t>
  </si>
  <si>
    <t>checklist</t>
  </si>
  <si>
    <t xml:space="preserve">Observer timing piece - </t>
  </si>
  <si>
    <t>check with observer (tape and printing)</t>
  </si>
  <si>
    <t>set up chart(s), sheets, photos</t>
  </si>
  <si>
    <t>arrange start times with other boats in class</t>
  </si>
  <si>
    <t>NAVLOG - set navlog to 0.1 min</t>
  </si>
  <si>
    <t>set to User Interface - cruise</t>
  </si>
  <si>
    <t>TIME OUT(S)</t>
  </si>
  <si>
    <t>Contestant Name</t>
  </si>
  <si>
    <t>contestant address</t>
  </si>
  <si>
    <t>phone #</t>
  </si>
  <si>
    <t>cell # =</t>
  </si>
  <si>
    <t>xxx-xxx-xxxx</t>
  </si>
  <si>
    <t>Navigator/Helmperson Name</t>
  </si>
  <si>
    <t>Print 2</t>
  </si>
  <si>
    <t>TIME OUT</t>
  </si>
  <si>
    <t>'HR:min:sec</t>
  </si>
  <si>
    <t>CONTEST NAME:</t>
  </si>
  <si>
    <t>DATE:</t>
  </si>
  <si>
    <t>CONTESTANT:</t>
  </si>
  <si>
    <t>BOAT NAME:</t>
  </si>
  <si>
    <t>NAVIGATOR:</t>
  </si>
  <si>
    <t>CLUB:</t>
  </si>
  <si>
    <t>ADDRESS:</t>
  </si>
  <si>
    <t>CITY:</t>
  </si>
  <si>
    <t>ZIP code:</t>
  </si>
  <si>
    <t>E-MAIL ADDRESS:</t>
  </si>
  <si>
    <t>IPBA No. :</t>
  </si>
  <si>
    <t>PREDICTED START TIME</t>
  </si>
  <si>
    <t>Hr : Min : Sec</t>
  </si>
  <si>
    <t>PREDICTED RUN TIME</t>
  </si>
  <si>
    <t>CONTROL POINT DESCRIPTIONS</t>
  </si>
  <si>
    <t>Distance in NM</t>
  </si>
  <si>
    <t>CONTROL POINT 1</t>
  </si>
  <si>
    <t>CONTROL POINT 2</t>
  </si>
  <si>
    <t>CONTROL POINT 3</t>
  </si>
  <si>
    <t>CONTROL POINT 4</t>
  </si>
  <si>
    <t>CONTROL POINT 5</t>
  </si>
  <si>
    <t>CONTROL POINT 6</t>
  </si>
  <si>
    <t>CONTROL POINT 7</t>
  </si>
  <si>
    <t>CONTROL POINT 8</t>
  </si>
  <si>
    <t>TOTAL PREDICTED MILEAGE:</t>
  </si>
  <si>
    <t>OFFICIAL MILEAGE:</t>
  </si>
  <si>
    <t>TOTAL PREDICTED RUN TIME:</t>
  </si>
  <si>
    <t>TOTAL PREDICTED SECONDS:</t>
  </si>
  <si>
    <t>PREDICTED FINISH TIME:</t>
  </si>
  <si>
    <t>CRUISE SPEED:</t>
  </si>
  <si>
    <t>SLOW SPEED:</t>
  </si>
  <si>
    <t>FINISH CLASS:</t>
  </si>
  <si>
    <t xml:space="preserve">Novice - i.e. racing less than 3 years - see IPBA rules for annual awards?     </t>
  </si>
  <si>
    <t>YES:</t>
  </si>
  <si>
    <t>NO:</t>
  </si>
  <si>
    <t xml:space="preserve">Event - First time this Contest &amp; racing less than 3 years (for Event award)? </t>
  </si>
  <si>
    <t>SIGNED BY CONTESTANT:</t>
  </si>
  <si>
    <t>PRINITING HELP:</t>
  </si>
  <si>
    <t>These 3 log forms have been tested on numerous printers in color and B&amp;W.</t>
  </si>
  <si>
    <t>They look good on some printers but darker or too light on others.</t>
  </si>
  <si>
    <t>You may adjust the colors using "right click on cell/format cell/patterns TAB/patterns" and choose a pattern and a color that works for your printer.</t>
  </si>
  <si>
    <t>HOWEVER, use a red shade for the red areas, Blue for Blue and green for green so the race committee can recognize the color of the cell.</t>
  </si>
  <si>
    <r>
      <t xml:space="preserve">I.P.B.A SANCTIONED   </t>
    </r>
    <r>
      <rPr>
        <b/>
        <sz val="24"/>
        <rFont val="Arial"/>
        <family val="2"/>
      </rPr>
      <t xml:space="preserve">"PREDICTED  LOG"  </t>
    </r>
    <r>
      <rPr>
        <b/>
        <sz val="12"/>
        <rFont val="Arial"/>
        <family val="2"/>
      </rPr>
      <t>VERSION:  11-11</t>
    </r>
  </si>
  <si>
    <r>
      <t>ALL</t>
    </r>
    <r>
      <rPr>
        <b/>
        <sz val="14"/>
        <color indexed="10"/>
        <rFont val="Arial"/>
        <family val="2"/>
      </rPr>
      <t xml:space="preserve"> RED SHADED AREAS (XXX's)</t>
    </r>
    <r>
      <rPr>
        <b/>
        <sz val="14"/>
        <rFont val="Arial"/>
        <family val="2"/>
      </rPr>
      <t xml:space="preserve"> are</t>
    </r>
    <r>
      <rPr>
        <b/>
        <u val="single"/>
        <sz val="14"/>
        <rFont val="Arial"/>
        <family val="2"/>
      </rPr>
      <t xml:space="preserve"> REQUIRED</t>
    </r>
    <r>
      <rPr>
        <b/>
        <sz val="14"/>
        <rFont val="Arial"/>
        <family val="2"/>
      </rPr>
      <t xml:space="preserve"> and must be in INK. CHECK your ENTRIES, They are FINAL, NO changes after submission.  It is also </t>
    </r>
    <r>
      <rPr>
        <b/>
        <u val="single"/>
        <sz val="14"/>
        <rFont val="Arial"/>
        <family val="2"/>
      </rPr>
      <t>RECOMMENDED</t>
    </r>
    <r>
      <rPr>
        <b/>
        <sz val="14"/>
        <rFont val="Arial"/>
        <family val="2"/>
      </rPr>
      <t xml:space="preserve"> that ALL </t>
    </r>
    <r>
      <rPr>
        <b/>
        <sz val="14"/>
        <color indexed="17"/>
        <rFont val="Arial"/>
        <family val="2"/>
      </rPr>
      <t xml:space="preserve">GREEN SHADED AREAS (diagonals \\\\\) </t>
    </r>
    <r>
      <rPr>
        <b/>
        <sz val="14"/>
        <rFont val="Arial"/>
        <family val="2"/>
      </rPr>
      <t>be filled-in.</t>
    </r>
  </si>
  <si>
    <t>I am entering this contest at my own risk and will save, hold harmless and indemnify the International Powerboat Assoc. and all such other Clubs and or Associations that may be sponsoring, hosting or sanctioning this contest together with the officers, directors, committees and members, from any and all liability or responsibility of any nature whatsoever for accidents, damage or injury to myself, my crew, my guests and my boat, persons or property, and I waive and relinquish any claim I might have for injury or damage to myself or my boat as against any such Association and/or Club and/or their officers, directors, committees or members.  I am fully aware that the International Rules of the Road must always be followed and I have read and understand the IPBA safety Rule and Its procedures.</t>
  </si>
  <si>
    <t>ASSIGNED OBSERVER:</t>
  </si>
  <si>
    <t>Flat Water Speed RPM</t>
  </si>
  <si>
    <t>Cruise - RPM</t>
  </si>
  <si>
    <t>Slow - RPM</t>
  </si>
  <si>
    <t>Compass course</t>
  </si>
  <si>
    <t>Time - Min:Sec</t>
  </si>
  <si>
    <t>TR#  Leg</t>
  </si>
  <si>
    <t>Compass Course</t>
  </si>
  <si>
    <t>STARTING POINT DESCRIPTION</t>
  </si>
  <si>
    <t>Predicted Start Time</t>
  </si>
  <si>
    <t>Actual Start Time</t>
  </si>
  <si>
    <t>Actual Start Difference Time</t>
  </si>
  <si>
    <t>Max 5 minute variance</t>
  </si>
  <si>
    <t>Min : Sec</t>
  </si>
  <si>
    <t>CONTROL POINTS DESCRIPTION</t>
  </si>
  <si>
    <t>ACTUAL TIME OF DAY</t>
  </si>
  <si>
    <t>ACTUAL TOTAL RUN TIME:</t>
  </si>
  <si>
    <t>OBSERVER QUESTIONAIRE                                    (explain any NO on reverse)</t>
  </si>
  <si>
    <t>Did contestant make a STANDING start?……………………………………</t>
  </si>
  <si>
    <t>WERE YOU WITH CONTESTANT at all control points?………………………….</t>
  </si>
  <si>
    <t>Do you think the COURSE WAS MADE GOOD as charted?…………………</t>
  </si>
  <si>
    <t>Does the contestant agree with your START TIME?……………………….</t>
  </si>
  <si>
    <t>Does the contestant agree with your CONTROL POINT TIMES?…………….</t>
  </si>
  <si>
    <t>Were TIMED RUN courses and times made good?………………………..</t>
  </si>
  <si>
    <t>Was STOP WATCH or TIMER used only for timed runs?……………………………..</t>
  </si>
  <si>
    <t>Were MARINE RADIO monitored only, and NOT used?………………………</t>
  </si>
  <si>
    <t>Were RADAR, GPS and PLOTTERS(with GPS input) NOT used during contest?………….</t>
  </si>
  <si>
    <t>Did only you have access to TIME of DAY except at start?…………………….</t>
  </si>
  <si>
    <t>Was contest without TIME OUTS? (Enter above, check NO &amp; explain on reverse)….</t>
  </si>
  <si>
    <t>Was contest without PROTESTS? (Check NO &amp; explain on reverse)…….…………………..</t>
  </si>
  <si>
    <t>After Race Signatures: The signatures below attest to the accuracy of all required entries</t>
  </si>
  <si>
    <t>OBSERVER</t>
  </si>
  <si>
    <t>CELL# or contact info</t>
  </si>
  <si>
    <t>CONTESTANT</t>
  </si>
  <si>
    <t>CONTESTANT'S PRE-RACE SIGNATURE:</t>
  </si>
  <si>
    <t>CELL#</t>
  </si>
  <si>
    <r>
      <rPr>
        <b/>
        <sz val="12"/>
        <rFont val="Arial Black"/>
        <family val="2"/>
      </rPr>
      <t>TIME OUT(S</t>
    </r>
    <r>
      <rPr>
        <b/>
        <sz val="11"/>
        <rFont val="Arial Black"/>
        <family val="2"/>
      </rPr>
      <t xml:space="preserve">)                                           </t>
    </r>
    <r>
      <rPr>
        <b/>
        <u val="single"/>
        <sz val="11"/>
        <rFont val="Arial Black"/>
        <family val="2"/>
      </rPr>
      <t>"IF NEEDED"</t>
    </r>
  </si>
  <si>
    <t>from CONTESTANT PREDICTED LOG</t>
  </si>
  <si>
    <t>from CONTEST LOG</t>
  </si>
  <si>
    <t>SECONDS OF ERROR</t>
  </si>
  <si>
    <t>Time of Day</t>
  </si>
  <si>
    <t>Actual TIME OF DAY</t>
  </si>
  <si>
    <t>Actual T.O. RUN TIMES</t>
  </si>
  <si>
    <t>Actual Total Run Time (Hr:Min:Sec)</t>
  </si>
  <si>
    <t>ACTUAL TOTAL BY FAST &amp; SLOW (seconds)</t>
  </si>
  <si>
    <t>TOTAL SEC</t>
  </si>
  <si>
    <t>Actual Total Run Time (seconds)</t>
  </si>
  <si>
    <t>ACTUAL TOTAL SECONDS OF ERROR</t>
  </si>
  <si>
    <t>CALCULATION PROOFS</t>
  </si>
  <si>
    <t>B)  DIFFERENCE BETWEEN PREDICTED  AND ACTUAL TOTAL SECONDS:</t>
  </si>
  <si>
    <t>NET ERROR CALCULATIONS</t>
  </si>
  <si>
    <t>OFFICIAL MILEAGE (NM)</t>
  </si>
  <si>
    <t xml:space="preserve">PREDICTED SPEED FOR HANDICAP (kn),  (Official mi X 3600 ) / Total Pred sec </t>
  </si>
  <si>
    <r>
      <t>A) SLOW SECONDS OF ERROR</t>
    </r>
    <r>
      <rPr>
        <b/>
        <u val="single"/>
        <sz val="12"/>
        <rFont val="Arial"/>
        <family val="2"/>
      </rPr>
      <t xml:space="preserve"> MINUS</t>
    </r>
    <r>
      <rPr>
        <b/>
        <sz val="12"/>
        <rFont val="Arial"/>
        <family val="2"/>
      </rPr>
      <t xml:space="preserve"> FAST SECONDS OF ERROR:</t>
    </r>
  </si>
  <si>
    <r>
      <t xml:space="preserve">DIFFERENCE BETWEEN ABOVE A AND B  </t>
    </r>
    <r>
      <rPr>
        <b/>
        <sz val="10"/>
        <rFont val="Arial"/>
        <family val="2"/>
      </rPr>
      <t>(RESULTS MUST EQUAL ZERO)</t>
    </r>
    <r>
      <rPr>
        <b/>
        <sz val="12"/>
        <rFont val="Arial"/>
        <family val="2"/>
      </rPr>
      <t>:</t>
    </r>
  </si>
  <si>
    <r>
      <t>HANDICAP,</t>
    </r>
    <r>
      <rPr>
        <sz val="10"/>
        <rFont val="Arial"/>
        <family val="2"/>
      </rPr>
      <t xml:space="preserve"> Refer to Predicted Log Racing Handbook for Predicted Speed</t>
    </r>
  </si>
  <si>
    <r>
      <t>GROSS ERROR %,</t>
    </r>
    <r>
      <rPr>
        <sz val="10"/>
        <rFont val="Arial"/>
        <family val="2"/>
      </rPr>
      <t xml:space="preserve"> (Total Seconds of Error X 100) / total predicted sec (without Handicap for Lake Races)</t>
    </r>
  </si>
  <si>
    <r>
      <t>NET ERROR %.</t>
    </r>
    <r>
      <rPr>
        <sz val="10"/>
        <rFont val="Arial"/>
        <family val="2"/>
      </rPr>
      <t xml:space="preserve"> Gross Error X Handicap (Salt Water Races)</t>
    </r>
  </si>
  <si>
    <t>xx/xx/xx</t>
  </si>
  <si>
    <t>xxx</t>
  </si>
  <si>
    <r>
      <t xml:space="preserve">            TIME OUT(S)             </t>
    </r>
    <r>
      <rPr>
        <b/>
        <u val="single"/>
        <sz val="11"/>
        <rFont val="Arial"/>
        <family val="2"/>
      </rPr>
      <t xml:space="preserve"> "IF NEEDED"</t>
    </r>
  </si>
  <si>
    <r>
      <t xml:space="preserve">ALL SHADED AREAS must be in INK. CHECK your ENTRIES, They are FINAL, NO changes after submission. The </t>
    </r>
    <r>
      <rPr>
        <b/>
        <sz val="14"/>
        <color indexed="10"/>
        <rFont val="Arial"/>
        <family val="2"/>
      </rPr>
      <t xml:space="preserve">RED SHADED AREAS (xxx's) </t>
    </r>
    <r>
      <rPr>
        <b/>
        <sz val="14"/>
        <rFont val="Arial"/>
        <family val="2"/>
      </rPr>
      <t xml:space="preserve">must be </t>
    </r>
    <r>
      <rPr>
        <b/>
        <u val="single"/>
        <sz val="14"/>
        <rFont val="Arial"/>
        <family val="2"/>
      </rPr>
      <t>COMPLETED</t>
    </r>
    <r>
      <rPr>
        <b/>
        <sz val="14"/>
        <rFont val="Arial"/>
        <family val="2"/>
      </rPr>
      <t xml:space="preserve"> before the check-in prior to the race. After the contest and prior to after race check-in of the Contest Log; the  </t>
    </r>
    <r>
      <rPr>
        <b/>
        <sz val="14"/>
        <color indexed="12"/>
        <rFont val="Arial"/>
        <family val="2"/>
      </rPr>
      <t>BLUE SHADED AREAS (dots)</t>
    </r>
    <r>
      <rPr>
        <b/>
        <sz val="14"/>
        <rFont val="Arial"/>
        <family val="2"/>
      </rPr>
      <t xml:space="preserve"> MUST be </t>
    </r>
    <r>
      <rPr>
        <b/>
        <u val="single"/>
        <sz val="14"/>
        <rFont val="Arial"/>
        <family val="2"/>
      </rPr>
      <t>COMPLETED</t>
    </r>
    <r>
      <rPr>
        <b/>
        <sz val="14"/>
        <rFont val="Arial"/>
        <family val="2"/>
      </rPr>
      <t xml:space="preserve">. </t>
    </r>
    <r>
      <rPr>
        <b/>
        <i/>
        <u val="single"/>
        <sz val="14"/>
        <color indexed="10"/>
        <rFont val="Arial"/>
        <family val="2"/>
      </rPr>
      <t>.</t>
    </r>
    <r>
      <rPr>
        <b/>
        <sz val="14"/>
        <rFont val="Arial"/>
        <family val="2"/>
      </rPr>
      <t xml:space="preserve"> The </t>
    </r>
    <r>
      <rPr>
        <b/>
        <sz val="14"/>
        <color indexed="17"/>
        <rFont val="Arial"/>
        <family val="2"/>
      </rPr>
      <t>GREEN SHADED AREAS (diagonal \\\\)</t>
    </r>
    <r>
      <rPr>
        <b/>
        <sz val="14"/>
        <rFont val="Arial"/>
        <family val="2"/>
      </rPr>
      <t xml:space="preserve"> are optional but </t>
    </r>
    <r>
      <rPr>
        <b/>
        <u val="single"/>
        <sz val="14"/>
        <rFont val="Arial"/>
        <family val="2"/>
      </rPr>
      <t>RECOMMENDED</t>
    </r>
    <r>
      <rPr>
        <b/>
        <sz val="14"/>
        <rFont val="Arial"/>
        <family val="2"/>
      </rPr>
      <t xml:space="preserve">.                                                                                                                                                                                                                                           </t>
    </r>
    <r>
      <rPr>
        <b/>
        <u val="double"/>
        <sz val="20"/>
        <color indexed="10"/>
        <rFont val="Arial"/>
        <family val="2"/>
      </rPr>
      <t>DO NOT ATTACH CALCULATION LOG TO THIS LOG, IF USED.</t>
    </r>
    <r>
      <rPr>
        <b/>
        <sz val="14"/>
        <rFont val="Arial"/>
        <family val="2"/>
      </rPr>
      <t xml:space="preserve">  IPBA rules require the contestant  accept the score that official race scorer computes if the TOTAL SECONDS OF ERROR ON THE CONTEST LOG in the ORANGE SHADED AREA (DOTS) is not completed.   If the Total seconds differ, the Race Committee will attempt to contact you at the cell #/contact info prior to the Awards</t>
    </r>
  </si>
  <si>
    <r>
      <t xml:space="preserve"> </t>
    </r>
    <r>
      <rPr>
        <b/>
        <i/>
        <u val="single"/>
        <sz val="18"/>
        <color indexed="10"/>
        <rFont val="Arial"/>
        <family val="2"/>
      </rPr>
      <t xml:space="preserve">IPBA rules require the contestant to accept the score ,that the offical race scorer computes unless you enter your Total Seconds of Error on the CONTEST LOG.  If the Total seconds of Error differ, the Race Committee will attempt to contact you at the cell #/contact info prior to the Awards.  Showing a copy of this log would be advised, when contacted by the Race Committe.                                                                                                                                                              </t>
    </r>
    <r>
      <rPr>
        <b/>
        <i/>
        <u val="single"/>
        <sz val="24"/>
        <color indexed="18"/>
        <rFont val="Arial"/>
        <family val="2"/>
      </rPr>
      <t>DO NOT</t>
    </r>
    <r>
      <rPr>
        <b/>
        <i/>
        <u val="single"/>
        <sz val="22"/>
        <color indexed="18"/>
        <rFont val="Arial"/>
        <family val="2"/>
      </rPr>
      <t xml:space="preserve"> TURN-IN CALCULATION LOG WITH COMPLETED CONTEST LOG</t>
    </r>
  </si>
  <si>
    <r>
      <t xml:space="preserve"> I.P.B.A SANCTIONED "</t>
    </r>
    <r>
      <rPr>
        <b/>
        <sz val="24"/>
        <rFont val="Arial"/>
        <family val="2"/>
      </rPr>
      <t>CALCULATION</t>
    </r>
    <r>
      <rPr>
        <b/>
        <sz val="20"/>
        <rFont val="Arial"/>
        <family val="2"/>
      </rPr>
      <t xml:space="preserve"> LOG" (optional) </t>
    </r>
    <r>
      <rPr>
        <b/>
        <sz val="16"/>
        <rFont val="Arial"/>
        <family val="2"/>
      </rPr>
      <t>VERISON:  12-12</t>
    </r>
  </si>
  <si>
    <r>
      <t xml:space="preserve">I.P.B.A SANCTIONED   </t>
    </r>
    <r>
      <rPr>
        <b/>
        <sz val="24"/>
        <rFont val="Arial"/>
        <family val="2"/>
      </rPr>
      <t xml:space="preserve">"CONTEST  LOG"  </t>
    </r>
    <r>
      <rPr>
        <b/>
        <sz val="14"/>
        <rFont val="Arial"/>
        <family val="2"/>
      </rPr>
      <t>VERSION:  12-12</t>
    </r>
  </si>
  <si>
    <t>TOTAL SECONDS OF ERROR</t>
  </si>
  <si>
    <t>Date of first race =</t>
  </si>
  <si>
    <t>zzz</t>
  </si>
  <si>
    <t>NACA No. :</t>
  </si>
  <si>
    <r>
      <t xml:space="preserve">I.P.B.A SANCTIONED   </t>
    </r>
    <r>
      <rPr>
        <b/>
        <sz val="24"/>
        <rFont val="Arial"/>
        <family val="2"/>
      </rPr>
      <t xml:space="preserve">"PREDICTED  LOG"  </t>
    </r>
    <r>
      <rPr>
        <b/>
        <sz val="12"/>
        <rFont val="Arial"/>
        <family val="2"/>
      </rPr>
      <t>VERSION:  1-16</t>
    </r>
  </si>
  <si>
    <t>You can also join online at:</t>
  </si>
  <si>
    <t>www.predictedlog.org/join_naca.aspx</t>
  </si>
  <si>
    <t>1/9/16</t>
  </si>
  <si>
    <t>TR-1 End</t>
  </si>
  <si>
    <t>TR-2 End</t>
  </si>
  <si>
    <t>BLIND POINT</t>
  </si>
  <si>
    <t>2.  If true course or set of current is due north,   enter as 360 not 0</t>
  </si>
  <si>
    <t>5. Hide columns in Red type as they are ot used during the race and any unused rows for legs or CPs.</t>
  </si>
  <si>
    <t>Start - Green Roof N edge</t>
  </si>
  <si>
    <t>Sunrise Beach House</t>
  </si>
  <si>
    <t>Sea Cliff Community Pier end</t>
  </si>
  <si>
    <t>CP-1 Colvos Psg Lt #6</t>
  </si>
  <si>
    <t>Ollala Bridge mid span</t>
  </si>
  <si>
    <t>CP-2 Colvos Light #4</t>
  </si>
  <si>
    <t>Lisabuela Road Extension</t>
  </si>
  <si>
    <t>CP-3 Colvos Light #5</t>
  </si>
  <si>
    <t>Colvos Psg Lt #6</t>
  </si>
  <si>
    <t>NW Corner Camp Sealth Pier</t>
  </si>
  <si>
    <t>Spring Beach Rd Extension</t>
  </si>
  <si>
    <t>North Pt Dalco House west end</t>
  </si>
  <si>
    <t>CP-4 Dalco Pt house west end</t>
  </si>
  <si>
    <t>Point Defiance Light</t>
  </si>
  <si>
    <t>Finish - Beach House E of GH Lighthouse</t>
  </si>
  <si>
    <t>14:10:00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</si>
</sst>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_)"/>
    <numFmt numFmtId="166" formatCode="hh:mm:ss_)"/>
    <numFmt numFmtId="167" formatCode="0_)"/>
    <numFmt numFmtId="168" formatCode="0.00_)"/>
    <numFmt numFmtId="169" formatCode="0.0000_)"/>
    <numFmt numFmtId="170" formatCode="0.0_)"/>
    <numFmt numFmtId="171" formatCode="0.0000"/>
    <numFmt numFmtId="172" formatCode="0.000"/>
    <numFmt numFmtId="173" formatCode="mm/dd/yy"/>
    <numFmt numFmtId="174" formatCode="hh:mm:ss"/>
    <numFmt numFmtId="175" formatCode="0.0"/>
    <numFmt numFmtId="176" formatCode="000"/>
    <numFmt numFmtId="177" formatCode="0.0000000000000"/>
    <numFmt numFmtId="178" formatCode="0.0000%"/>
    <numFmt numFmtId="179" formatCode="0.00000"/>
    <numFmt numFmtId="180" formatCode="0_);\(0\)"/>
    <numFmt numFmtId="181" formatCode="mmmm\ d\,\ yyyy"/>
    <numFmt numFmtId="182" formatCode="m/d"/>
    <numFmt numFmtId="183" formatCode="mmmmm\-yy"/>
    <numFmt numFmtId="184" formatCode="#,##0.000000000_);[Red]\(#,##0.000000000\)"/>
    <numFmt numFmtId="185" formatCode="00000"/>
    <numFmt numFmtId="186" formatCode="0.000000"/>
    <numFmt numFmtId="187" formatCode="0.000000000000000"/>
    <numFmt numFmtId="188" formatCode="0.0000000000000000"/>
    <numFmt numFmtId="189" formatCode="[$-409]h:mm:ss\ AM/PM"/>
    <numFmt numFmtId="190" formatCode="[$-F400]h:mm:ss\ AM/PM"/>
    <numFmt numFmtId="191" formatCode="h:mm:ss;@"/>
  </numFmts>
  <fonts count="150">
    <font>
      <sz val="10"/>
      <name val="Courier"/>
      <family val="0"/>
    </font>
    <font>
      <b/>
      <sz val="10"/>
      <name val="MS Sans Serif"/>
      <family val="0"/>
    </font>
    <font>
      <i/>
      <sz val="10"/>
      <name val="MS Sans Serif"/>
      <family val="0"/>
    </font>
    <font>
      <b/>
      <i/>
      <sz val="10"/>
      <name val="MS Sans Serif"/>
      <family val="0"/>
    </font>
    <font>
      <sz val="10"/>
      <name val="MS Sans Serif"/>
      <family val="2"/>
    </font>
    <font>
      <sz val="10"/>
      <color indexed="12"/>
      <name val="Courier"/>
      <family val="3"/>
    </font>
    <font>
      <sz val="10"/>
      <name val="Arial"/>
      <family val="2"/>
    </font>
    <font>
      <sz val="10"/>
      <color indexed="12"/>
      <name val="Arial"/>
      <family val="2"/>
    </font>
    <font>
      <b/>
      <sz val="10"/>
      <color indexed="12"/>
      <name val="Arial"/>
      <family val="2"/>
    </font>
    <font>
      <b/>
      <sz val="10"/>
      <name val="Arial"/>
      <family val="2"/>
    </font>
    <font>
      <b/>
      <sz val="10"/>
      <name val="Courier"/>
      <family val="3"/>
    </font>
    <font>
      <sz val="8"/>
      <name val="Tahoma"/>
      <family val="2"/>
    </font>
    <font>
      <b/>
      <sz val="8"/>
      <name val="Tahoma"/>
      <family val="2"/>
    </font>
    <font>
      <b/>
      <u val="single"/>
      <sz val="10"/>
      <name val="Courier"/>
      <family val="3"/>
    </font>
    <font>
      <i/>
      <sz val="10"/>
      <name val="Arial"/>
      <family val="2"/>
    </font>
    <font>
      <b/>
      <i/>
      <sz val="10"/>
      <name val="Arial"/>
      <family val="2"/>
    </font>
    <font>
      <sz val="10"/>
      <color indexed="56"/>
      <name val="Arial"/>
      <family val="2"/>
    </font>
    <font>
      <b/>
      <sz val="10"/>
      <color indexed="56"/>
      <name val="Arial"/>
      <family val="2"/>
    </font>
    <font>
      <sz val="10"/>
      <color indexed="56"/>
      <name val="Courier"/>
      <family val="3"/>
    </font>
    <font>
      <sz val="10"/>
      <color indexed="10"/>
      <name val="Arial"/>
      <family val="2"/>
    </font>
    <font>
      <b/>
      <sz val="10"/>
      <color indexed="10"/>
      <name val="Arial"/>
      <family val="2"/>
    </font>
    <font>
      <b/>
      <sz val="10"/>
      <color indexed="10"/>
      <name val="Courier"/>
      <family val="3"/>
    </font>
    <font>
      <sz val="10"/>
      <color indexed="10"/>
      <name val="Courier"/>
      <family val="3"/>
    </font>
    <font>
      <sz val="12"/>
      <name val="Arial"/>
      <family val="2"/>
    </font>
    <font>
      <b/>
      <sz val="12"/>
      <color indexed="12"/>
      <name val="Arial"/>
      <family val="2"/>
    </font>
    <font>
      <sz val="12"/>
      <name val="Courier"/>
      <family val="3"/>
    </font>
    <font>
      <b/>
      <sz val="10"/>
      <name val="Tahoma"/>
      <family val="2"/>
    </font>
    <font>
      <sz val="10"/>
      <name val="Tahoma"/>
      <family val="2"/>
    </font>
    <font>
      <b/>
      <u val="single"/>
      <sz val="10"/>
      <name val="Tahoma"/>
      <family val="2"/>
    </font>
    <font>
      <sz val="9"/>
      <name val="Tahoma"/>
      <family val="2"/>
    </font>
    <font>
      <b/>
      <sz val="9"/>
      <name val="Tahoma"/>
      <family val="2"/>
    </font>
    <font>
      <b/>
      <sz val="10"/>
      <color indexed="56"/>
      <name val="Courier"/>
      <family val="3"/>
    </font>
    <font>
      <sz val="10"/>
      <color indexed="56"/>
      <name val="Verdana"/>
      <family val="2"/>
    </font>
    <font>
      <sz val="10"/>
      <color indexed="12"/>
      <name val="Verdana"/>
      <family val="2"/>
    </font>
    <font>
      <b/>
      <sz val="10"/>
      <color indexed="12"/>
      <name val="Verdana"/>
      <family val="2"/>
    </font>
    <font>
      <sz val="10"/>
      <name val="Verdana"/>
      <family val="2"/>
    </font>
    <font>
      <u val="single"/>
      <sz val="7.5"/>
      <color indexed="12"/>
      <name val="Courier"/>
      <family val="3"/>
    </font>
    <font>
      <b/>
      <sz val="12"/>
      <name val="Arial"/>
      <family val="2"/>
    </font>
    <font>
      <b/>
      <sz val="10"/>
      <color indexed="8"/>
      <name val="Arial"/>
      <family val="2"/>
    </font>
    <font>
      <sz val="10"/>
      <color indexed="8"/>
      <name val="Arial"/>
      <family val="2"/>
    </font>
    <font>
      <sz val="12"/>
      <color indexed="50"/>
      <name val="Arial"/>
      <family val="2"/>
    </font>
    <font>
      <b/>
      <sz val="12"/>
      <name val="Courier"/>
      <family val="3"/>
    </font>
    <font>
      <sz val="10"/>
      <name val="Sans Serif 12cpi"/>
      <family val="3"/>
    </font>
    <font>
      <b/>
      <vertAlign val="superscript"/>
      <sz val="9"/>
      <name val="Tahoma"/>
      <family val="2"/>
    </font>
    <font>
      <b/>
      <sz val="10"/>
      <color indexed="19"/>
      <name val="Arial"/>
      <family val="2"/>
    </font>
    <font>
      <b/>
      <sz val="10"/>
      <color indexed="11"/>
      <name val="Arial"/>
      <family val="2"/>
    </font>
    <font>
      <b/>
      <sz val="12"/>
      <color indexed="42"/>
      <name val="Arial"/>
      <family val="2"/>
    </font>
    <font>
      <b/>
      <sz val="18"/>
      <name val="Arial"/>
      <family val="2"/>
    </font>
    <font>
      <sz val="9"/>
      <name val="Arial"/>
      <family val="2"/>
    </font>
    <font>
      <b/>
      <sz val="14"/>
      <name val="Arial"/>
      <family val="2"/>
    </font>
    <font>
      <b/>
      <sz val="16"/>
      <name val="Arial"/>
      <family val="2"/>
    </font>
    <font>
      <sz val="8"/>
      <name val="Arial"/>
      <family val="2"/>
    </font>
    <font>
      <b/>
      <sz val="8"/>
      <name val="Arial"/>
      <family val="2"/>
    </font>
    <font>
      <sz val="8"/>
      <name val="Univers"/>
      <family val="2"/>
    </font>
    <font>
      <b/>
      <sz val="9"/>
      <name val="Arial"/>
      <family val="2"/>
    </font>
    <font>
      <b/>
      <sz val="11"/>
      <name val="Arial"/>
      <family val="2"/>
    </font>
    <font>
      <sz val="11"/>
      <name val="Arial"/>
      <family val="2"/>
    </font>
    <font>
      <b/>
      <i/>
      <sz val="10"/>
      <color indexed="12"/>
      <name val="Arial"/>
      <family val="2"/>
    </font>
    <font>
      <b/>
      <i/>
      <sz val="10"/>
      <name val="Courier"/>
      <family val="3"/>
    </font>
    <font>
      <b/>
      <sz val="10"/>
      <name val="Sans Serif 12cpi"/>
      <family val="3"/>
    </font>
    <font>
      <b/>
      <i/>
      <sz val="12"/>
      <color indexed="56"/>
      <name val="Arial"/>
      <family val="2"/>
    </font>
    <font>
      <b/>
      <i/>
      <sz val="12"/>
      <name val="Arial"/>
      <family val="2"/>
    </font>
    <font>
      <i/>
      <sz val="10"/>
      <name val="Courier"/>
      <family val="3"/>
    </font>
    <font>
      <b/>
      <sz val="20"/>
      <name val="Arial"/>
      <family val="2"/>
    </font>
    <font>
      <sz val="20"/>
      <name val="Arial"/>
      <family val="2"/>
    </font>
    <font>
      <sz val="8"/>
      <name val="Courier"/>
      <family val="3"/>
    </font>
    <font>
      <u val="single"/>
      <sz val="10"/>
      <color indexed="36"/>
      <name val="Courier"/>
      <family val="3"/>
    </font>
    <font>
      <sz val="9"/>
      <name val="Courier"/>
      <family val="3"/>
    </font>
    <font>
      <b/>
      <u val="single"/>
      <sz val="15"/>
      <name val="Courier"/>
      <family val="3"/>
    </font>
    <font>
      <sz val="14"/>
      <name val="Arial"/>
      <family val="2"/>
    </font>
    <font>
      <sz val="16"/>
      <name val="Arial"/>
      <family val="2"/>
    </font>
    <font>
      <i/>
      <sz val="10"/>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name val="Arial"/>
      <family val="2"/>
    </font>
    <font>
      <b/>
      <sz val="14"/>
      <color indexed="10"/>
      <name val="Arial"/>
      <family val="2"/>
    </font>
    <font>
      <b/>
      <u val="single"/>
      <sz val="14"/>
      <name val="Arial"/>
      <family val="2"/>
    </font>
    <font>
      <b/>
      <sz val="14"/>
      <color indexed="17"/>
      <name val="Arial"/>
      <family val="2"/>
    </font>
    <font>
      <b/>
      <i/>
      <sz val="11"/>
      <name val="Arial"/>
      <family val="2"/>
    </font>
    <font>
      <i/>
      <sz val="11"/>
      <name val="Arial"/>
      <family val="2"/>
    </font>
    <font>
      <i/>
      <sz val="12"/>
      <name val="Arial"/>
      <family val="2"/>
    </font>
    <font>
      <b/>
      <i/>
      <sz val="16"/>
      <name val="Arial"/>
      <family val="2"/>
    </font>
    <font>
      <b/>
      <sz val="14"/>
      <color indexed="12"/>
      <name val="Arial"/>
      <family val="2"/>
    </font>
    <font>
      <sz val="11"/>
      <name val="Arial Black"/>
      <family val="2"/>
    </font>
    <font>
      <b/>
      <sz val="12"/>
      <name val="Arial Black"/>
      <family val="2"/>
    </font>
    <font>
      <b/>
      <sz val="11"/>
      <name val="Arial Black"/>
      <family val="2"/>
    </font>
    <font>
      <b/>
      <u val="single"/>
      <sz val="11"/>
      <name val="Arial Black"/>
      <family val="2"/>
    </font>
    <font>
      <b/>
      <u val="single"/>
      <sz val="11"/>
      <name val="Arial"/>
      <family val="2"/>
    </font>
    <font>
      <b/>
      <sz val="11"/>
      <name val="Courier"/>
      <family val="3"/>
    </font>
    <font>
      <b/>
      <u val="single"/>
      <sz val="12"/>
      <name val="Arial"/>
      <family val="2"/>
    </font>
    <font>
      <sz val="18"/>
      <name val="Arial"/>
      <family val="2"/>
    </font>
    <font>
      <b/>
      <i/>
      <sz val="20"/>
      <name val="Arial"/>
      <family val="2"/>
    </font>
    <font>
      <i/>
      <sz val="20"/>
      <name val="Arial"/>
      <family val="2"/>
    </font>
    <font>
      <b/>
      <sz val="20"/>
      <name val="Courier"/>
      <family val="3"/>
    </font>
    <font>
      <b/>
      <i/>
      <sz val="20"/>
      <color indexed="10"/>
      <name val="Arial"/>
      <family val="2"/>
    </font>
    <font>
      <b/>
      <sz val="20"/>
      <color indexed="10"/>
      <name val="Arial"/>
      <family val="2"/>
    </font>
    <font>
      <sz val="12"/>
      <color indexed="56"/>
      <name val="Courier"/>
      <family val="3"/>
    </font>
    <font>
      <sz val="11"/>
      <name val="Courier"/>
      <family val="3"/>
    </font>
    <font>
      <b/>
      <i/>
      <u val="single"/>
      <sz val="14"/>
      <color indexed="10"/>
      <name val="Arial"/>
      <family val="2"/>
    </font>
    <font>
      <b/>
      <i/>
      <u val="single"/>
      <sz val="18"/>
      <color indexed="10"/>
      <name val="Arial"/>
      <family val="2"/>
    </font>
    <font>
      <b/>
      <u val="double"/>
      <sz val="20"/>
      <color indexed="10"/>
      <name val="Arial"/>
      <family val="2"/>
    </font>
    <font>
      <b/>
      <i/>
      <u val="single"/>
      <sz val="24"/>
      <color indexed="18"/>
      <name val="Arial"/>
      <family val="2"/>
    </font>
    <font>
      <b/>
      <i/>
      <u val="single"/>
      <sz val="22"/>
      <color indexed="18"/>
      <name val="Arial"/>
      <family val="2"/>
    </font>
    <font>
      <sz val="12"/>
      <name val="Verdana"/>
      <family val="2"/>
    </font>
    <font>
      <u val="single"/>
      <sz val="12"/>
      <color indexed="12"/>
      <name val="Verdana"/>
      <family val="2"/>
    </font>
    <font>
      <b/>
      <sz val="12"/>
      <name val="Tahoma"/>
      <family val="2"/>
    </font>
    <font>
      <b/>
      <sz val="14"/>
      <name val="Tahoma"/>
      <family val="2"/>
    </font>
    <font>
      <b/>
      <sz val="11"/>
      <color indexed="12"/>
      <name val="Arial"/>
      <family val="2"/>
    </font>
    <font>
      <b/>
      <i/>
      <sz val="10"/>
      <color indexed="12"/>
      <name val="Courier"/>
      <family val="3"/>
    </font>
    <font>
      <sz val="10"/>
      <color indexed="30"/>
      <name val="Courier"/>
      <family val="0"/>
    </font>
    <font>
      <sz val="10"/>
      <color indexed="30"/>
      <name val="Arial"/>
      <family val="2"/>
    </font>
    <font>
      <sz val="10"/>
      <color indexed="30"/>
      <name val="Verdana"/>
      <family val="2"/>
    </font>
    <font>
      <b/>
      <i/>
      <sz val="10"/>
      <color indexed="30"/>
      <name val="Arial"/>
      <family val="2"/>
    </font>
    <font>
      <b/>
      <sz val="10"/>
      <color indexed="30"/>
      <name val="Arial"/>
      <family val="2"/>
    </font>
    <font>
      <b/>
      <sz val="10"/>
      <color indexed="30"/>
      <name val="Verdana"/>
      <family val="2"/>
    </font>
    <font>
      <b/>
      <sz val="10"/>
      <color indexed="30"/>
      <name val="Courier"/>
      <family val="3"/>
    </font>
    <font>
      <i/>
      <sz val="10"/>
      <color indexed="30"/>
      <name val="Arial"/>
      <family val="2"/>
    </font>
    <font>
      <b/>
      <sz val="12"/>
      <color rgb="FF0000FF"/>
      <name val="Arial"/>
      <family val="2"/>
    </font>
    <font>
      <sz val="10"/>
      <color rgb="FF0000FF"/>
      <name val="Arial"/>
      <family val="2"/>
    </font>
    <font>
      <b/>
      <sz val="10"/>
      <color rgb="FF0000FF"/>
      <name val="Arial"/>
      <family val="2"/>
    </font>
    <font>
      <u val="single"/>
      <sz val="7.5"/>
      <color rgb="FF0000FF"/>
      <name val="Courier"/>
      <family val="3"/>
    </font>
    <font>
      <b/>
      <sz val="11"/>
      <color rgb="FF0000FF"/>
      <name val="Arial"/>
      <family val="2"/>
    </font>
    <font>
      <sz val="10"/>
      <color rgb="FF0000FF"/>
      <name val="Courier"/>
      <family val="3"/>
    </font>
    <font>
      <b/>
      <i/>
      <sz val="10"/>
      <color rgb="FF0000FF"/>
      <name val="Arial"/>
      <family val="2"/>
    </font>
    <font>
      <b/>
      <i/>
      <sz val="10"/>
      <color rgb="FF0000FF"/>
      <name val="Courier"/>
      <family val="3"/>
    </font>
    <font>
      <sz val="10"/>
      <color rgb="FF0000FF"/>
      <name val="Verdana"/>
      <family val="2"/>
    </font>
    <font>
      <sz val="10"/>
      <color rgb="FF0070C0"/>
      <name val="Courier"/>
      <family val="0"/>
    </font>
    <font>
      <sz val="10"/>
      <color rgb="FF0070C0"/>
      <name val="Arial"/>
      <family val="2"/>
    </font>
    <font>
      <sz val="10"/>
      <color rgb="FF0070C0"/>
      <name val="Verdana"/>
      <family val="2"/>
    </font>
    <font>
      <b/>
      <i/>
      <sz val="10"/>
      <color rgb="FF0070C0"/>
      <name val="Arial"/>
      <family val="2"/>
    </font>
    <font>
      <b/>
      <sz val="10"/>
      <color rgb="FF0070C0"/>
      <name val="Arial"/>
      <family val="2"/>
    </font>
    <font>
      <b/>
      <sz val="10"/>
      <color rgb="FF0070C0"/>
      <name val="Verdana"/>
      <family val="2"/>
    </font>
    <font>
      <b/>
      <sz val="10"/>
      <color rgb="FF0070C0"/>
      <name val="Courier"/>
      <family val="3"/>
    </font>
    <font>
      <i/>
      <sz val="10"/>
      <color rgb="FF0070C0"/>
      <name val="Arial"/>
      <family val="2"/>
    </font>
    <font>
      <b/>
      <sz val="8"/>
      <name val="Courier"/>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lightGray">
        <fgColor indexed="40"/>
      </patternFill>
    </fill>
    <fill>
      <patternFill patternType="gray125">
        <fgColor indexed="10"/>
      </patternFill>
    </fill>
    <fill>
      <patternFill patternType="gray125">
        <fgColor indexed="40"/>
      </patternFill>
    </fill>
    <fill>
      <patternFill patternType="lightTrellis">
        <fgColor indexed="45"/>
      </patternFill>
    </fill>
    <fill>
      <patternFill patternType="lightDown">
        <fgColor indexed="11"/>
      </patternFill>
    </fill>
    <fill>
      <patternFill patternType="solid">
        <fgColor indexed="13"/>
        <bgColor indexed="64"/>
      </patternFill>
    </fill>
    <fill>
      <patternFill patternType="solid">
        <fgColor rgb="FFFFFF99"/>
        <bgColor indexed="64"/>
      </patternFill>
    </fill>
    <fill>
      <patternFill patternType="solid">
        <fgColor theme="0"/>
        <bgColor indexed="64"/>
      </patternFill>
    </fill>
    <fill>
      <patternFill patternType="gray0625">
        <bgColor indexed="43"/>
      </patternFill>
    </fill>
  </fills>
  <borders count="9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medium"/>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double"/>
    </border>
    <border>
      <left>
        <color indexed="63"/>
      </left>
      <right style="thin"/>
      <top>
        <color indexed="63"/>
      </top>
      <bottom style="double"/>
    </border>
    <border>
      <left>
        <color indexed="63"/>
      </left>
      <right style="medium"/>
      <top>
        <color indexed="63"/>
      </top>
      <bottom style="double"/>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style="thin"/>
      <bottom style="medium"/>
    </border>
    <border>
      <left style="thin"/>
      <right>
        <color indexed="63"/>
      </right>
      <top style="thin"/>
      <bottom style="thin"/>
    </border>
    <border>
      <left>
        <color indexed="63"/>
      </left>
      <right>
        <color indexed="63"/>
      </right>
      <top>
        <color indexed="63"/>
      </top>
      <bottom style="double"/>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thin"/>
      <bottom style="thin"/>
    </border>
    <border>
      <left style="thin"/>
      <right style="thin"/>
      <top>
        <color indexed="63"/>
      </top>
      <bottom style="medium"/>
    </border>
    <border>
      <left style="medium"/>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double"/>
    </border>
    <border>
      <left>
        <color indexed="63"/>
      </left>
      <right style="medium"/>
      <top style="medium"/>
      <bottom style="medium"/>
    </border>
    <border>
      <left style="medium"/>
      <right style="medium"/>
      <top style="medium"/>
      <bottom>
        <color indexed="63"/>
      </bottom>
    </border>
    <border>
      <left style="medium"/>
      <right style="medium"/>
      <top>
        <color indexed="63"/>
      </top>
      <bottom style="thin"/>
    </border>
    <border>
      <left style="thin"/>
      <right>
        <color indexed="63"/>
      </right>
      <top style="medium"/>
      <bottom style="medium"/>
    </border>
    <border>
      <left style="medium"/>
      <right style="medium"/>
      <top style="thin"/>
      <bottom style="medium"/>
    </border>
    <border>
      <left>
        <color indexed="63"/>
      </left>
      <right style="thin"/>
      <top>
        <color indexed="63"/>
      </top>
      <bottom style="medium"/>
    </border>
    <border>
      <left style="medium"/>
      <right style="medium"/>
      <top style="medium"/>
      <bottom style="thin"/>
    </border>
    <border>
      <left style="medium"/>
      <right style="thin"/>
      <top style="medium"/>
      <bottom style="medium"/>
    </border>
    <border>
      <left style="thin"/>
      <right style="medium"/>
      <top style="medium"/>
      <bottom style="medium"/>
    </border>
    <border>
      <left>
        <color indexed="63"/>
      </left>
      <right style="medium"/>
      <top style="medium"/>
      <bottom>
        <color indexed="63"/>
      </bottom>
    </border>
    <border>
      <left style="thin"/>
      <right style="thin"/>
      <top style="medium"/>
      <bottom style="medium"/>
    </border>
    <border>
      <left style="medium"/>
      <right>
        <color indexed="63"/>
      </right>
      <top>
        <color indexed="63"/>
      </top>
      <bottom style="thin"/>
    </border>
    <border>
      <left>
        <color indexed="63"/>
      </left>
      <right style="medium"/>
      <top style="thin"/>
      <bottom>
        <color indexed="63"/>
      </bottom>
    </border>
    <border>
      <left style="thin"/>
      <right style="thin"/>
      <top>
        <color indexed="63"/>
      </top>
      <bottom style="thin"/>
    </border>
    <border>
      <left>
        <color indexed="63"/>
      </left>
      <right style="thin"/>
      <top>
        <color indexed="63"/>
      </top>
      <bottom style="thin"/>
    </border>
    <border>
      <left style="medium"/>
      <right style="thin"/>
      <top>
        <color indexed="63"/>
      </top>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medium"/>
      <right>
        <color indexed="63"/>
      </right>
      <top style="thin"/>
      <bottom style="medium"/>
    </border>
    <border>
      <left style="thin"/>
      <right>
        <color indexed="63"/>
      </right>
      <top style="medium"/>
      <bottom>
        <color indexed="63"/>
      </bottom>
    </border>
    <border>
      <left style="medium"/>
      <right>
        <color indexed="63"/>
      </right>
      <top>
        <color indexed="63"/>
      </top>
      <bottom style="double"/>
    </border>
    <border>
      <left style="medium"/>
      <right>
        <color indexed="63"/>
      </right>
      <top style="thin"/>
      <bottom style="thin"/>
    </border>
    <border>
      <left style="thin"/>
      <right>
        <color indexed="63"/>
      </right>
      <top style="medium"/>
      <bottom style="thin"/>
    </border>
    <border>
      <left style="thin"/>
      <right style="thin"/>
      <top style="medium"/>
      <bottom>
        <color indexed="63"/>
      </bottom>
    </border>
    <border>
      <left style="thin"/>
      <right style="medium"/>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double"/>
    </border>
    <border>
      <left style="medium"/>
      <right>
        <color indexed="63"/>
      </right>
      <top style="thin"/>
      <bottom>
        <color indexed="63"/>
      </bottom>
    </border>
    <border>
      <left style="thin"/>
      <right style="medium"/>
      <top style="thin"/>
      <bottom>
        <color indexed="63"/>
      </bottom>
    </border>
    <border>
      <left style="medium"/>
      <right style="medium"/>
      <top style="thin"/>
      <bottom>
        <color indexed="63"/>
      </bottom>
    </border>
    <border>
      <left>
        <color indexed="63"/>
      </left>
      <right style="thin"/>
      <top style="thin"/>
      <bottom style="double"/>
    </border>
    <border>
      <left style="thin"/>
      <right>
        <color indexed="63"/>
      </right>
      <top style="thin"/>
      <bottom style="double"/>
    </border>
    <border>
      <left>
        <color indexed="63"/>
      </left>
      <right style="thin"/>
      <top style="medium"/>
      <bottom style="medium"/>
    </border>
    <border>
      <left style="medium"/>
      <right style="thin"/>
      <top style="thin"/>
      <bottom style="thin"/>
    </border>
    <border>
      <left>
        <color indexed="63"/>
      </left>
      <right style="thin"/>
      <top style="medium"/>
      <bottom style="thin"/>
    </border>
    <border>
      <left>
        <color indexed="63"/>
      </left>
      <right style="thin"/>
      <top style="medium"/>
      <bottom>
        <color indexed="63"/>
      </bottom>
    </border>
    <border>
      <left style="thin"/>
      <right style="thin"/>
      <top style="thin"/>
      <bottom style="medium"/>
    </border>
    <border>
      <left style="medium"/>
      <right style="thin"/>
      <top style="thin"/>
      <bottom style="medium"/>
    </border>
    <border>
      <left style="thin"/>
      <right style="medium"/>
      <top>
        <color indexed="63"/>
      </top>
      <bottom style="thin"/>
    </border>
    <border>
      <left style="thin"/>
      <right style="medium"/>
      <top style="thin"/>
      <bottom style="medium"/>
    </border>
    <border>
      <left style="thin"/>
      <right>
        <color indexed="63"/>
      </right>
      <top style="thin"/>
      <bottom style="medium"/>
    </border>
    <border>
      <left>
        <color indexed="63"/>
      </left>
      <right style="medium"/>
      <top style="thin"/>
      <bottom style="medium"/>
    </border>
    <border>
      <left style="medium"/>
      <right style="thin"/>
      <top style="thin"/>
      <bottom>
        <color indexed="63"/>
      </bottom>
    </border>
    <border>
      <left>
        <color indexed="63"/>
      </left>
      <right style="medium"/>
      <top style="thin"/>
      <bottom style="thin"/>
    </border>
    <border>
      <left style="thin"/>
      <right style="medium"/>
      <top style="medium"/>
      <bottom style="thin"/>
    </border>
    <border>
      <left style="medium"/>
      <right style="thin"/>
      <top style="medium"/>
      <bottom>
        <color indexed="63"/>
      </bottom>
    </border>
    <border>
      <left>
        <color indexed="63"/>
      </left>
      <right style="thin"/>
      <top style="thin"/>
      <bottom style="medium"/>
    </border>
    <border>
      <left style="medium"/>
      <right style="thin"/>
      <top>
        <color indexed="63"/>
      </top>
      <bottom style="medium"/>
    </border>
    <border>
      <left style="thin"/>
      <right>
        <color indexed="63"/>
      </right>
      <top style="double"/>
      <bottom>
        <color indexed="63"/>
      </bottom>
    </border>
  </borders>
  <cellStyleXfs count="6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5" borderId="0" applyNumberFormat="0" applyBorder="0" applyAlignment="0" applyProtection="0"/>
    <xf numFmtId="0" fontId="72" fillId="8" borderId="0" applyNumberFormat="0" applyBorder="0" applyAlignment="0" applyProtection="0"/>
    <xf numFmtId="0" fontId="72" fillId="11" borderId="0" applyNumberFormat="0" applyBorder="0" applyAlignment="0" applyProtection="0"/>
    <xf numFmtId="0" fontId="73" fillId="12"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9" borderId="0" applyNumberFormat="0" applyBorder="0" applyAlignment="0" applyProtection="0"/>
    <xf numFmtId="0" fontId="74" fillId="3" borderId="0" applyNumberFormat="0" applyBorder="0" applyAlignment="0" applyProtection="0"/>
    <xf numFmtId="0" fontId="75" fillId="20" borderId="1" applyNumberFormat="0" applyAlignment="0" applyProtection="0"/>
    <xf numFmtId="0" fontId="76" fillId="21"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49" fontId="32" fillId="22" borderId="3">
      <alignment horizontal="left"/>
      <protection/>
    </xf>
    <xf numFmtId="0" fontId="77" fillId="0" borderId="0" applyNumberFormat="0" applyFill="0" applyBorder="0" applyAlignment="0" applyProtection="0"/>
    <xf numFmtId="0" fontId="66" fillId="0" borderId="0" applyNumberFormat="0" applyFill="0" applyBorder="0" applyAlignment="0" applyProtection="0"/>
    <xf numFmtId="0" fontId="78" fillId="4" borderId="0" applyNumberFormat="0" applyBorder="0" applyAlignment="0" applyProtection="0"/>
    <xf numFmtId="0" fontId="79" fillId="0" borderId="4" applyNumberFormat="0" applyFill="0" applyAlignment="0" applyProtection="0"/>
    <xf numFmtId="0" fontId="80" fillId="0" borderId="5" applyNumberFormat="0" applyFill="0" applyAlignment="0" applyProtection="0"/>
    <xf numFmtId="0" fontId="81" fillId="0" borderId="6" applyNumberFormat="0" applyFill="0" applyAlignment="0" applyProtection="0"/>
    <xf numFmtId="0" fontId="81" fillId="0" borderId="0" applyNumberFormat="0" applyFill="0" applyBorder="0" applyAlignment="0" applyProtection="0"/>
    <xf numFmtId="0" fontId="36" fillId="0" borderId="0" applyNumberFormat="0" applyFill="0" applyBorder="0" applyAlignment="0" applyProtection="0"/>
    <xf numFmtId="0" fontId="82" fillId="7" borderId="1" applyNumberFormat="0" applyAlignment="0" applyProtection="0"/>
    <xf numFmtId="0" fontId="83" fillId="0" borderId="7" applyNumberFormat="0" applyFill="0" applyAlignment="0" applyProtection="0"/>
    <xf numFmtId="0" fontId="84" fillId="22" borderId="0" applyNumberFormat="0" applyBorder="0" applyAlignment="0" applyProtection="0"/>
    <xf numFmtId="0" fontId="6" fillId="0" borderId="0">
      <alignment/>
      <protection/>
    </xf>
    <xf numFmtId="0" fontId="6" fillId="0" borderId="0">
      <alignment/>
      <protection/>
    </xf>
    <xf numFmtId="0" fontId="6" fillId="23" borderId="8" applyNumberFormat="0" applyFont="0" applyAlignment="0" applyProtection="0"/>
    <xf numFmtId="0" fontId="85" fillId="20" borderId="9" applyNumberFormat="0" applyAlignment="0" applyProtection="0"/>
    <xf numFmtId="9" fontId="4" fillId="0" borderId="0" applyFont="0" applyFill="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1746">
    <xf numFmtId="164" fontId="0" fillId="0" borderId="0" xfId="0" applyAlignment="1">
      <alignment/>
    </xf>
    <xf numFmtId="164" fontId="0" fillId="0" borderId="0" xfId="0" applyAlignment="1" applyProtection="1">
      <alignment/>
      <protection/>
    </xf>
    <xf numFmtId="164" fontId="0" fillId="0" borderId="0" xfId="0" applyBorder="1" applyAlignment="1" applyProtection="1">
      <alignment/>
      <protection/>
    </xf>
    <xf numFmtId="164" fontId="0" fillId="0" borderId="0" xfId="0" applyBorder="1" applyAlignment="1">
      <alignment/>
    </xf>
    <xf numFmtId="164" fontId="6" fillId="0" borderId="11" xfId="0" applyFont="1" applyBorder="1" applyAlignment="1" applyProtection="1">
      <alignment/>
      <protection/>
    </xf>
    <xf numFmtId="164" fontId="6" fillId="0" borderId="12" xfId="0" applyFont="1" applyBorder="1" applyAlignment="1" applyProtection="1">
      <alignment/>
      <protection/>
    </xf>
    <xf numFmtId="164" fontId="6" fillId="0" borderId="12" xfId="0" applyFont="1" applyBorder="1" applyAlignment="1" applyProtection="1">
      <alignment horizontal="right"/>
      <protection/>
    </xf>
    <xf numFmtId="164" fontId="6" fillId="0" borderId="13" xfId="0" applyFont="1" applyBorder="1" applyAlignment="1" applyProtection="1">
      <alignment/>
      <protection/>
    </xf>
    <xf numFmtId="164" fontId="6" fillId="0" borderId="0" xfId="0" applyFont="1" applyAlignment="1" applyProtection="1">
      <alignment/>
      <protection/>
    </xf>
    <xf numFmtId="164" fontId="6" fillId="0" borderId="0" xfId="0" applyFont="1" applyAlignment="1" applyProtection="1">
      <alignment horizontal="left"/>
      <protection/>
    </xf>
    <xf numFmtId="164" fontId="6" fillId="0" borderId="0" xfId="0" applyFont="1" applyAlignment="1">
      <alignment/>
    </xf>
    <xf numFmtId="164" fontId="6" fillId="0" borderId="14" xfId="0" applyFont="1" applyBorder="1" applyAlignment="1" applyProtection="1">
      <alignment/>
      <protection/>
    </xf>
    <xf numFmtId="164" fontId="7" fillId="0" borderId="0" xfId="0" applyFont="1" applyAlignment="1" applyProtection="1">
      <alignment/>
      <protection locked="0"/>
    </xf>
    <xf numFmtId="164" fontId="6" fillId="0" borderId="0" xfId="0" applyFont="1" applyAlignment="1" applyProtection="1">
      <alignment horizontal="right"/>
      <protection/>
    </xf>
    <xf numFmtId="164" fontId="6" fillId="0" borderId="15" xfId="0" applyFont="1" applyBorder="1" applyAlignment="1" applyProtection="1">
      <alignment/>
      <protection/>
    </xf>
    <xf numFmtId="164" fontId="6" fillId="0" borderId="16" xfId="0" applyFont="1" applyBorder="1" applyAlignment="1" applyProtection="1">
      <alignment/>
      <protection/>
    </xf>
    <xf numFmtId="164" fontId="6" fillId="0" borderId="17" xfId="0" applyFont="1" applyBorder="1" applyAlignment="1" applyProtection="1">
      <alignment/>
      <protection/>
    </xf>
    <xf numFmtId="164" fontId="6" fillId="0" borderId="18" xfId="0" applyFont="1" applyBorder="1" applyAlignment="1" applyProtection="1">
      <alignment horizontal="left"/>
      <protection/>
    </xf>
    <xf numFmtId="164" fontId="6" fillId="0" borderId="19" xfId="0" applyFont="1" applyBorder="1" applyAlignment="1" applyProtection="1">
      <alignment horizontal="left"/>
      <protection/>
    </xf>
    <xf numFmtId="164" fontId="6" fillId="0" borderId="18" xfId="0" applyFont="1" applyBorder="1" applyAlignment="1" applyProtection="1">
      <alignment/>
      <protection/>
    </xf>
    <xf numFmtId="164" fontId="6" fillId="0" borderId="20" xfId="0" applyFont="1" applyBorder="1" applyAlignment="1" applyProtection="1">
      <alignment horizontal="left"/>
      <protection/>
    </xf>
    <xf numFmtId="164" fontId="6" fillId="0" borderId="21" xfId="0" applyFont="1" applyBorder="1" applyAlignment="1" applyProtection="1">
      <alignment horizontal="left"/>
      <protection/>
    </xf>
    <xf numFmtId="164" fontId="6" fillId="0" borderId="22" xfId="0" applyFont="1" applyBorder="1" applyAlignment="1" applyProtection="1">
      <alignment horizontal="center"/>
      <protection/>
    </xf>
    <xf numFmtId="166" fontId="6" fillId="0" borderId="15" xfId="0" applyNumberFormat="1" applyFont="1" applyBorder="1" applyAlignment="1" applyProtection="1">
      <alignment/>
      <protection/>
    </xf>
    <xf numFmtId="167" fontId="6" fillId="0" borderId="15" xfId="0" applyNumberFormat="1" applyFont="1" applyBorder="1" applyAlignment="1" applyProtection="1">
      <alignment/>
      <protection/>
    </xf>
    <xf numFmtId="166" fontId="6" fillId="0" borderId="23" xfId="0" applyNumberFormat="1" applyFont="1" applyBorder="1" applyAlignment="1" applyProtection="1">
      <alignment/>
      <protection/>
    </xf>
    <xf numFmtId="164" fontId="6" fillId="0" borderId="24" xfId="0" applyFont="1" applyBorder="1" applyAlignment="1" applyProtection="1">
      <alignment/>
      <protection/>
    </xf>
    <xf numFmtId="164" fontId="6" fillId="0" borderId="0" xfId="0" applyFont="1" applyBorder="1" applyAlignment="1" applyProtection="1">
      <alignment/>
      <protection/>
    </xf>
    <xf numFmtId="165" fontId="6" fillId="0" borderId="0" xfId="0" applyNumberFormat="1" applyFont="1" applyAlignment="1" applyProtection="1">
      <alignment/>
      <protection/>
    </xf>
    <xf numFmtId="167" fontId="6" fillId="0" borderId="23" xfId="0" applyNumberFormat="1" applyFont="1" applyBorder="1" applyAlignment="1" applyProtection="1">
      <alignment/>
      <protection/>
    </xf>
    <xf numFmtId="164" fontId="7" fillId="0" borderId="0" xfId="0" applyFont="1" applyBorder="1" applyAlignment="1" applyProtection="1">
      <alignment/>
      <protection locked="0"/>
    </xf>
    <xf numFmtId="167" fontId="6" fillId="0" borderId="0" xfId="0" applyNumberFormat="1" applyFont="1" applyBorder="1" applyAlignment="1" applyProtection="1">
      <alignment/>
      <protection/>
    </xf>
    <xf numFmtId="166" fontId="6" fillId="0" borderId="0" xfId="0" applyNumberFormat="1" applyFont="1" applyBorder="1" applyAlignment="1" applyProtection="1">
      <alignment/>
      <protection/>
    </xf>
    <xf numFmtId="164" fontId="6" fillId="0" borderId="25" xfId="0" applyFont="1" applyBorder="1" applyAlignment="1" applyProtection="1">
      <alignment/>
      <protection/>
    </xf>
    <xf numFmtId="164" fontId="6" fillId="0" borderId="26" xfId="0" applyFont="1" applyBorder="1" applyAlignment="1" applyProtection="1">
      <alignment/>
      <protection/>
    </xf>
    <xf numFmtId="167" fontId="6" fillId="0" borderId="26" xfId="0" applyNumberFormat="1" applyFont="1" applyBorder="1" applyAlignment="1" applyProtection="1">
      <alignment/>
      <protection/>
    </xf>
    <xf numFmtId="169" fontId="6" fillId="0" borderId="26" xfId="0" applyNumberFormat="1" applyFont="1" applyBorder="1" applyAlignment="1" applyProtection="1">
      <alignment/>
      <protection/>
    </xf>
    <xf numFmtId="164" fontId="6" fillId="0" borderId="27" xfId="0" applyFont="1" applyBorder="1" applyAlignment="1" applyProtection="1">
      <alignment/>
      <protection/>
    </xf>
    <xf numFmtId="164" fontId="0" fillId="0" borderId="28" xfId="0" applyBorder="1" applyAlignment="1">
      <alignment/>
    </xf>
    <xf numFmtId="164" fontId="0" fillId="0" borderId="0" xfId="0" applyAlignment="1" quotePrefix="1">
      <alignment/>
    </xf>
    <xf numFmtId="172" fontId="6" fillId="0" borderId="26" xfId="0" applyNumberFormat="1" applyFont="1" applyBorder="1" applyAlignment="1" applyProtection="1">
      <alignment/>
      <protection/>
    </xf>
    <xf numFmtId="171" fontId="6" fillId="0" borderId="0" xfId="0" applyNumberFormat="1" applyFont="1" applyBorder="1" applyAlignment="1" applyProtection="1">
      <alignment/>
      <protection/>
    </xf>
    <xf numFmtId="164" fontId="9" fillId="0" borderId="18" xfId="0" applyFont="1" applyBorder="1" applyAlignment="1" applyProtection="1">
      <alignment horizontal="center"/>
      <protection/>
    </xf>
    <xf numFmtId="164" fontId="9" fillId="0" borderId="21" xfId="0" applyFont="1" applyBorder="1" applyAlignment="1" applyProtection="1">
      <alignment horizontal="center"/>
      <protection/>
    </xf>
    <xf numFmtId="164" fontId="6" fillId="0" borderId="29" xfId="0" applyFont="1" applyBorder="1" applyAlignment="1" applyProtection="1">
      <alignment horizontal="left"/>
      <protection/>
    </xf>
    <xf numFmtId="164" fontId="6" fillId="0" borderId="24" xfId="0" applyFont="1" applyBorder="1" applyAlignment="1" applyProtection="1">
      <alignment horizontal="left"/>
      <protection/>
    </xf>
    <xf numFmtId="164" fontId="6" fillId="0" borderId="30" xfId="0" applyFont="1" applyBorder="1" applyAlignment="1" applyProtection="1">
      <alignment/>
      <protection/>
    </xf>
    <xf numFmtId="164" fontId="0" fillId="0" borderId="24" xfId="0" applyBorder="1" applyAlignment="1">
      <alignment/>
    </xf>
    <xf numFmtId="168" fontId="6" fillId="0" borderId="24" xfId="0" applyNumberFormat="1" applyFont="1" applyBorder="1" applyAlignment="1" applyProtection="1">
      <alignment/>
      <protection/>
    </xf>
    <xf numFmtId="164" fontId="0" fillId="0" borderId="24" xfId="0" applyBorder="1" applyAlignment="1" applyProtection="1">
      <alignment/>
      <protection/>
    </xf>
    <xf numFmtId="164" fontId="0" fillId="0" borderId="31" xfId="0" applyBorder="1" applyAlignment="1">
      <alignment/>
    </xf>
    <xf numFmtId="164" fontId="6" fillId="0" borderId="32" xfId="0" applyFont="1" applyBorder="1" applyAlignment="1" applyProtection="1">
      <alignment/>
      <protection/>
    </xf>
    <xf numFmtId="164" fontId="0" fillId="0" borderId="16" xfId="0" applyBorder="1" applyAlignment="1">
      <alignment/>
    </xf>
    <xf numFmtId="164" fontId="10" fillId="0" borderId="0" xfId="0" applyFont="1" applyAlignment="1">
      <alignment/>
    </xf>
    <xf numFmtId="166" fontId="6" fillId="0" borderId="15" xfId="0" applyNumberFormat="1" applyFont="1" applyBorder="1" applyAlignment="1" applyProtection="1">
      <alignment/>
      <protection/>
    </xf>
    <xf numFmtId="164" fontId="10" fillId="0" borderId="0" xfId="0" applyFont="1" applyAlignment="1">
      <alignment/>
    </xf>
    <xf numFmtId="164" fontId="0" fillId="0" borderId="23" xfId="0" applyBorder="1" applyAlignment="1">
      <alignment/>
    </xf>
    <xf numFmtId="164" fontId="0" fillId="0" borderId="32" xfId="0" applyBorder="1" applyAlignment="1">
      <alignment/>
    </xf>
    <xf numFmtId="164" fontId="6" fillId="0" borderId="33" xfId="0" applyFont="1" applyBorder="1" applyAlignment="1" applyProtection="1">
      <alignment horizontal="center"/>
      <protection/>
    </xf>
    <xf numFmtId="164" fontId="6" fillId="0" borderId="34" xfId="0" applyFont="1" applyBorder="1" applyAlignment="1" applyProtection="1">
      <alignment/>
      <protection/>
    </xf>
    <xf numFmtId="164" fontId="7" fillId="0" borderId="34" xfId="0" applyFont="1" applyBorder="1" applyAlignment="1" applyProtection="1">
      <alignment/>
      <protection locked="0"/>
    </xf>
    <xf numFmtId="164" fontId="6" fillId="0" borderId="35" xfId="0" applyFont="1" applyBorder="1" applyAlignment="1" applyProtection="1">
      <alignment/>
      <protection/>
    </xf>
    <xf numFmtId="164" fontId="0" fillId="0" borderId="34" xfId="0" applyBorder="1" applyAlignment="1" applyProtection="1">
      <alignment/>
      <protection/>
    </xf>
    <xf numFmtId="164" fontId="0" fillId="0" borderId="34" xfId="0" applyBorder="1" applyAlignment="1">
      <alignment/>
    </xf>
    <xf numFmtId="164" fontId="7" fillId="0" borderId="36" xfId="0" applyFont="1" applyBorder="1" applyAlignment="1" applyProtection="1">
      <alignment/>
      <protection locked="0"/>
    </xf>
    <xf numFmtId="164" fontId="6" fillId="0" borderId="37" xfId="0" applyFont="1" applyBorder="1" applyAlignment="1" applyProtection="1">
      <alignment/>
      <protection/>
    </xf>
    <xf numFmtId="164" fontId="0" fillId="0" borderId="37" xfId="0" applyBorder="1" applyAlignment="1">
      <alignment/>
    </xf>
    <xf numFmtId="164" fontId="7" fillId="0" borderId="37" xfId="0" applyFont="1" applyBorder="1" applyAlignment="1" applyProtection="1">
      <alignment/>
      <protection locked="0"/>
    </xf>
    <xf numFmtId="164" fontId="0" fillId="0" borderId="15" xfId="0" applyBorder="1" applyAlignment="1" applyProtection="1">
      <alignment/>
      <protection/>
    </xf>
    <xf numFmtId="164" fontId="0" fillId="0" borderId="15" xfId="0" applyBorder="1" applyAlignment="1">
      <alignment/>
    </xf>
    <xf numFmtId="164" fontId="0" fillId="0" borderId="23" xfId="0" applyBorder="1" applyAlignment="1" applyProtection="1">
      <alignment/>
      <protection/>
    </xf>
    <xf numFmtId="164" fontId="0" fillId="0" borderId="23" xfId="0" applyBorder="1" applyAlignment="1" applyProtection="1" quotePrefix="1">
      <alignment horizontal="left"/>
      <protection/>
    </xf>
    <xf numFmtId="164" fontId="0" fillId="0" borderId="23" xfId="0" applyBorder="1" applyAlignment="1" applyProtection="1">
      <alignment horizontal="left"/>
      <protection/>
    </xf>
    <xf numFmtId="164" fontId="0" fillId="0" borderId="23" xfId="0" applyBorder="1" applyAlignment="1" applyProtection="1">
      <alignment horizontal="right"/>
      <protection/>
    </xf>
    <xf numFmtId="164" fontId="10" fillId="0" borderId="23" xfId="0" applyFont="1" applyBorder="1" applyAlignment="1" applyProtection="1">
      <alignment/>
      <protection/>
    </xf>
    <xf numFmtId="164" fontId="0" fillId="0" borderId="38" xfId="0" applyBorder="1" applyAlignment="1" applyProtection="1">
      <alignment/>
      <protection/>
    </xf>
    <xf numFmtId="164" fontId="18" fillId="0" borderId="23" xfId="0" applyFont="1" applyBorder="1" applyAlignment="1" applyProtection="1">
      <alignment/>
      <protection locked="0"/>
    </xf>
    <xf numFmtId="164" fontId="5" fillId="0" borderId="0" xfId="0" applyFont="1" applyBorder="1" applyAlignment="1" applyProtection="1">
      <alignment/>
      <protection locked="0"/>
    </xf>
    <xf numFmtId="164" fontId="0" fillId="0" borderId="39" xfId="0" applyBorder="1" applyAlignment="1" applyProtection="1">
      <alignment/>
      <protection/>
    </xf>
    <xf numFmtId="164" fontId="0" fillId="0" borderId="26" xfId="0" applyBorder="1" applyAlignment="1">
      <alignment/>
    </xf>
    <xf numFmtId="164" fontId="21" fillId="0" borderId="23" xfId="0" applyFont="1" applyBorder="1" applyAlignment="1">
      <alignment/>
    </xf>
    <xf numFmtId="164" fontId="22" fillId="0" borderId="23" xfId="0" applyFont="1" applyBorder="1" applyAlignment="1" applyProtection="1">
      <alignment/>
      <protection/>
    </xf>
    <xf numFmtId="164" fontId="22" fillId="0" borderId="23" xfId="0" applyFont="1" applyBorder="1" applyAlignment="1" applyProtection="1">
      <alignment horizontal="left"/>
      <protection/>
    </xf>
    <xf numFmtId="164" fontId="6" fillId="0" borderId="33" xfId="0" applyFont="1" applyBorder="1" applyAlignment="1" applyProtection="1">
      <alignment horizontal="left"/>
      <protection/>
    </xf>
    <xf numFmtId="164" fontId="6" fillId="0" borderId="0" xfId="0" applyFont="1" applyBorder="1" applyAlignment="1" applyProtection="1">
      <alignment horizontal="left"/>
      <protection/>
    </xf>
    <xf numFmtId="164" fontId="6" fillId="0" borderId="40" xfId="0" applyFont="1" applyBorder="1" applyAlignment="1" applyProtection="1">
      <alignment/>
      <protection/>
    </xf>
    <xf numFmtId="164" fontId="20" fillId="0" borderId="34" xfId="0" applyFont="1" applyBorder="1" applyAlignment="1" applyProtection="1">
      <alignment/>
      <protection/>
    </xf>
    <xf numFmtId="164" fontId="6" fillId="0" borderId="41" xfId="0" applyFont="1" applyBorder="1" applyAlignment="1" applyProtection="1">
      <alignment/>
      <protection/>
    </xf>
    <xf numFmtId="168" fontId="6" fillId="0" borderId="34" xfId="0" applyNumberFormat="1" applyFont="1" applyBorder="1" applyAlignment="1" applyProtection="1">
      <alignment/>
      <protection/>
    </xf>
    <xf numFmtId="1" fontId="6" fillId="0" borderId="34" xfId="0" applyNumberFormat="1" applyFont="1" applyBorder="1" applyAlignment="1" applyProtection="1">
      <alignment/>
      <protection/>
    </xf>
    <xf numFmtId="1" fontId="6" fillId="0" borderId="41" xfId="0" applyNumberFormat="1" applyFont="1" applyBorder="1" applyAlignment="1" applyProtection="1">
      <alignment/>
      <protection/>
    </xf>
    <xf numFmtId="164" fontId="0" fillId="0" borderId="15" xfId="0" applyFont="1" applyBorder="1" applyAlignment="1" applyProtection="1" quotePrefix="1">
      <alignment horizontal="left"/>
      <protection/>
    </xf>
    <xf numFmtId="164" fontId="0" fillId="0" borderId="15" xfId="0" applyBorder="1" applyAlignment="1" applyProtection="1">
      <alignment horizontal="left"/>
      <protection/>
    </xf>
    <xf numFmtId="164" fontId="0" fillId="0" borderId="15" xfId="0" applyBorder="1" applyAlignment="1" applyProtection="1" quotePrefix="1">
      <alignment horizontal="left"/>
      <protection/>
    </xf>
    <xf numFmtId="164" fontId="0" fillId="0" borderId="15" xfId="0" applyFont="1" applyBorder="1" applyAlignment="1" applyProtection="1" quotePrefix="1">
      <alignment/>
      <protection locked="0"/>
    </xf>
    <xf numFmtId="164" fontId="0" fillId="0" borderId="15" xfId="0" applyFont="1" applyBorder="1" applyAlignment="1" quotePrefix="1">
      <alignment/>
    </xf>
    <xf numFmtId="164" fontId="0" fillId="0" borderId="15" xfId="0" applyBorder="1" applyAlignment="1" quotePrefix="1">
      <alignment/>
    </xf>
    <xf numFmtId="167" fontId="6" fillId="0" borderId="42" xfId="0" applyNumberFormat="1" applyFont="1" applyBorder="1" applyAlignment="1" applyProtection="1">
      <alignment/>
      <protection/>
    </xf>
    <xf numFmtId="164" fontId="10" fillId="0" borderId="24" xfId="0" applyFont="1" applyBorder="1" applyAlignment="1">
      <alignment/>
    </xf>
    <xf numFmtId="164" fontId="0" fillId="0" borderId="30" xfId="0" applyBorder="1" applyAlignment="1">
      <alignment/>
    </xf>
    <xf numFmtId="164" fontId="0" fillId="0" borderId="14" xfId="0" applyBorder="1" applyAlignment="1">
      <alignment/>
    </xf>
    <xf numFmtId="164" fontId="0" fillId="0" borderId="14" xfId="0" applyBorder="1" applyAlignment="1" applyProtection="1">
      <alignment/>
      <protection/>
    </xf>
    <xf numFmtId="164" fontId="6" fillId="0" borderId="13" xfId="0" applyFont="1" applyBorder="1" applyAlignment="1" applyProtection="1">
      <alignment horizontal="left"/>
      <protection/>
    </xf>
    <xf numFmtId="169" fontId="6" fillId="0" borderId="0" xfId="0" applyNumberFormat="1" applyFont="1" applyBorder="1" applyAlignment="1" applyProtection="1">
      <alignment/>
      <protection/>
    </xf>
    <xf numFmtId="164" fontId="0" fillId="0" borderId="13" xfId="0" applyBorder="1" applyAlignment="1">
      <alignment/>
    </xf>
    <xf numFmtId="167" fontId="6" fillId="0" borderId="14" xfId="0" applyNumberFormat="1" applyFont="1" applyBorder="1" applyAlignment="1" applyProtection="1">
      <alignment/>
      <protection/>
    </xf>
    <xf numFmtId="164" fontId="7" fillId="0" borderId="14" xfId="0" applyFont="1" applyBorder="1" applyAlignment="1" applyProtection="1">
      <alignment/>
      <protection locked="0"/>
    </xf>
    <xf numFmtId="164" fontId="0" fillId="0" borderId="13" xfId="0" applyBorder="1" applyAlignment="1" applyProtection="1">
      <alignment/>
      <protection/>
    </xf>
    <xf numFmtId="164" fontId="6" fillId="0" borderId="43" xfId="0" applyFont="1" applyBorder="1" applyAlignment="1" applyProtection="1" quotePrefix="1">
      <alignment horizontal="left"/>
      <protection/>
    </xf>
    <xf numFmtId="164" fontId="6" fillId="0" borderId="44" xfId="0" applyFont="1" applyBorder="1" applyAlignment="1" applyProtection="1">
      <alignment/>
      <protection/>
    </xf>
    <xf numFmtId="164" fontId="6" fillId="0" borderId="45" xfId="0" applyFont="1" applyBorder="1" applyAlignment="1" applyProtection="1">
      <alignment/>
      <protection/>
    </xf>
    <xf numFmtId="164" fontId="6" fillId="0" borderId="46" xfId="0" applyFont="1" applyBorder="1" applyAlignment="1" applyProtection="1">
      <alignment horizontal="left"/>
      <protection/>
    </xf>
    <xf numFmtId="167" fontId="6" fillId="0" borderId="13" xfId="0" applyNumberFormat="1" applyFont="1" applyBorder="1" applyAlignment="1" applyProtection="1">
      <alignment/>
      <protection/>
    </xf>
    <xf numFmtId="167" fontId="6" fillId="0" borderId="25" xfId="0" applyNumberFormat="1" applyFont="1" applyBorder="1" applyAlignment="1" applyProtection="1">
      <alignment/>
      <protection/>
    </xf>
    <xf numFmtId="167" fontId="6" fillId="0" borderId="27" xfId="0" applyNumberFormat="1" applyFont="1" applyBorder="1" applyAlignment="1" applyProtection="1">
      <alignment/>
      <protection/>
    </xf>
    <xf numFmtId="164" fontId="23" fillId="0" borderId="12" xfId="0" applyFont="1" applyBorder="1" applyAlignment="1" applyProtection="1">
      <alignment/>
      <protection/>
    </xf>
    <xf numFmtId="164" fontId="23" fillId="0" borderId="40" xfId="0" applyFont="1" applyBorder="1" applyAlignment="1" applyProtection="1">
      <alignment/>
      <protection/>
    </xf>
    <xf numFmtId="164" fontId="23" fillId="0" borderId="37" xfId="0" applyFont="1" applyBorder="1" applyAlignment="1" applyProtection="1">
      <alignment horizontal="right"/>
      <protection/>
    </xf>
    <xf numFmtId="164" fontId="25" fillId="0" borderId="26" xfId="0" applyFont="1" applyBorder="1" applyAlignment="1">
      <alignment/>
    </xf>
    <xf numFmtId="164" fontId="23" fillId="0" borderId="37" xfId="0" applyFont="1" applyBorder="1" applyAlignment="1" applyProtection="1">
      <alignment/>
      <protection/>
    </xf>
    <xf numFmtId="164" fontId="25" fillId="0" borderId="37" xfId="0" applyFont="1" applyBorder="1" applyAlignment="1">
      <alignment/>
    </xf>
    <xf numFmtId="164" fontId="7" fillId="0" borderId="36" xfId="0" applyFont="1" applyFill="1" applyBorder="1" applyAlignment="1" applyProtection="1">
      <alignment/>
      <protection locked="0"/>
    </xf>
    <xf numFmtId="164" fontId="6" fillId="0" borderId="0" xfId="0" applyFont="1" applyBorder="1" applyAlignment="1" applyProtection="1">
      <alignment horizontal="right"/>
      <protection/>
    </xf>
    <xf numFmtId="164" fontId="6" fillId="0" borderId="0" xfId="0" applyFont="1" applyFill="1" applyBorder="1" applyAlignment="1" applyProtection="1">
      <alignment/>
      <protection/>
    </xf>
    <xf numFmtId="164" fontId="7" fillId="0" borderId="37" xfId="0" applyFont="1" applyFill="1" applyBorder="1" applyAlignment="1" applyProtection="1">
      <alignment/>
      <protection locked="0"/>
    </xf>
    <xf numFmtId="164" fontId="6" fillId="0" borderId="11" xfId="0" applyFont="1" applyBorder="1" applyAlignment="1">
      <alignment/>
    </xf>
    <xf numFmtId="164" fontId="6" fillId="0" borderId="25" xfId="0" applyFont="1" applyBorder="1" applyAlignment="1">
      <alignment/>
    </xf>
    <xf numFmtId="164" fontId="6" fillId="0" borderId="47" xfId="0" applyFont="1" applyBorder="1" applyAlignment="1">
      <alignment/>
    </xf>
    <xf numFmtId="164" fontId="6" fillId="0" borderId="47" xfId="0" applyFont="1" applyBorder="1" applyAlignment="1">
      <alignment horizontal="right"/>
    </xf>
    <xf numFmtId="164" fontId="6" fillId="0" borderId="37" xfId="0" applyFont="1" applyBorder="1" applyAlignment="1" applyProtection="1">
      <alignment/>
      <protection locked="0"/>
    </xf>
    <xf numFmtId="164" fontId="6" fillId="0" borderId="47" xfId="0" applyFont="1" applyBorder="1" applyAlignment="1" applyProtection="1">
      <alignment/>
      <protection locked="0"/>
    </xf>
    <xf numFmtId="164" fontId="25" fillId="0" borderId="0" xfId="0" applyFont="1" applyBorder="1" applyAlignment="1">
      <alignment/>
    </xf>
    <xf numFmtId="164" fontId="6" fillId="0" borderId="26" xfId="0" applyFont="1" applyBorder="1" applyAlignment="1" quotePrefix="1">
      <alignment/>
    </xf>
    <xf numFmtId="164" fontId="6" fillId="0" borderId="40" xfId="0" applyFont="1" applyBorder="1" applyAlignment="1">
      <alignment/>
    </xf>
    <xf numFmtId="1" fontId="6" fillId="0" borderId="34" xfId="0" applyNumberFormat="1" applyFont="1" applyFill="1" applyBorder="1" applyAlignment="1" applyProtection="1">
      <alignment/>
      <protection/>
    </xf>
    <xf numFmtId="164" fontId="6" fillId="0" borderId="24" xfId="0" applyFont="1" applyBorder="1" applyAlignment="1" applyProtection="1">
      <alignment horizontal="right"/>
      <protection/>
    </xf>
    <xf numFmtId="166" fontId="9" fillId="0" borderId="32" xfId="0" applyNumberFormat="1" applyFont="1" applyBorder="1" applyAlignment="1" applyProtection="1">
      <alignment/>
      <protection/>
    </xf>
    <xf numFmtId="164" fontId="6" fillId="0" borderId="29" xfId="0" applyFont="1" applyBorder="1" applyAlignment="1" applyProtection="1">
      <alignment horizontal="center"/>
      <protection/>
    </xf>
    <xf numFmtId="164" fontId="6" fillId="0" borderId="35" xfId="0" applyFont="1" applyBorder="1" applyAlignment="1" applyProtection="1">
      <alignment horizontal="center"/>
      <protection/>
    </xf>
    <xf numFmtId="164" fontId="0" fillId="0" borderId="0" xfId="0" applyFont="1" applyBorder="1" applyAlignment="1" applyProtection="1">
      <alignment/>
      <protection locked="0"/>
    </xf>
    <xf numFmtId="167" fontId="9" fillId="0" borderId="41" xfId="0" applyNumberFormat="1" applyFont="1" applyBorder="1" applyAlignment="1" applyProtection="1">
      <alignment/>
      <protection/>
    </xf>
    <xf numFmtId="164" fontId="0" fillId="0" borderId="35" xfId="0" applyBorder="1" applyAlignment="1">
      <alignment/>
    </xf>
    <xf numFmtId="164" fontId="16" fillId="0" borderId="0" xfId="0" applyFont="1" applyAlignment="1" applyProtection="1">
      <alignment/>
      <protection/>
    </xf>
    <xf numFmtId="164" fontId="0" fillId="0" borderId="26" xfId="0" applyFont="1" applyBorder="1" applyAlignment="1">
      <alignment horizontal="right"/>
    </xf>
    <xf numFmtId="164" fontId="9" fillId="0" borderId="33" xfId="0" applyFont="1" applyBorder="1" applyAlignment="1" applyProtection="1">
      <alignment horizontal="center"/>
      <protection/>
    </xf>
    <xf numFmtId="164" fontId="9" fillId="0" borderId="21" xfId="0" applyFont="1" applyBorder="1" applyAlignment="1" applyProtection="1">
      <alignment horizontal="left"/>
      <protection/>
    </xf>
    <xf numFmtId="164" fontId="9" fillId="0" borderId="33" xfId="0" applyFont="1" applyBorder="1" applyAlignment="1" applyProtection="1">
      <alignment horizontal="left"/>
      <protection/>
    </xf>
    <xf numFmtId="167" fontId="0" fillId="0" borderId="0" xfId="0" applyNumberFormat="1" applyAlignment="1">
      <alignment/>
    </xf>
    <xf numFmtId="167" fontId="0" fillId="0" borderId="0" xfId="0" applyNumberFormat="1" applyAlignment="1" applyProtection="1">
      <alignment horizontal="left"/>
      <protection/>
    </xf>
    <xf numFmtId="165" fontId="0" fillId="0" borderId="0" xfId="0" applyNumberFormat="1" applyFont="1" applyAlignment="1" applyProtection="1">
      <alignment/>
      <protection locked="0"/>
    </xf>
    <xf numFmtId="168" fontId="0" fillId="0" borderId="0" xfId="0" applyNumberFormat="1" applyAlignment="1" applyProtection="1">
      <alignment/>
      <protection locked="0"/>
    </xf>
    <xf numFmtId="164" fontId="0" fillId="0" borderId="48" xfId="0" applyBorder="1" applyAlignment="1">
      <alignment/>
    </xf>
    <xf numFmtId="172" fontId="0" fillId="0" borderId="0" xfId="0" applyNumberFormat="1" applyAlignment="1">
      <alignment/>
    </xf>
    <xf numFmtId="164" fontId="0" fillId="0" borderId="36" xfId="0" applyBorder="1" applyAlignment="1">
      <alignment/>
    </xf>
    <xf numFmtId="164" fontId="0" fillId="0" borderId="49" xfId="0" applyBorder="1" applyAlignment="1">
      <alignment/>
    </xf>
    <xf numFmtId="164" fontId="10" fillId="0" borderId="49" xfId="0" applyFont="1" applyBorder="1" applyAlignment="1">
      <alignment/>
    </xf>
    <xf numFmtId="164" fontId="10" fillId="0" borderId="48" xfId="0" applyFont="1" applyBorder="1" applyAlignment="1">
      <alignment/>
    </xf>
    <xf numFmtId="164" fontId="10" fillId="0" borderId="36" xfId="0" applyFont="1" applyBorder="1" applyAlignment="1">
      <alignment/>
    </xf>
    <xf numFmtId="164" fontId="0" fillId="0" borderId="50" xfId="0" applyBorder="1" applyAlignment="1">
      <alignment/>
    </xf>
    <xf numFmtId="164" fontId="9" fillId="0" borderId="0" xfId="0" applyFont="1" applyBorder="1" applyAlignment="1">
      <alignment/>
    </xf>
    <xf numFmtId="164" fontId="10" fillId="0" borderId="11" xfId="0" applyFont="1" applyBorder="1" applyAlignment="1">
      <alignment/>
    </xf>
    <xf numFmtId="164" fontId="0" fillId="0" borderId="51" xfId="0" applyBorder="1" applyAlignment="1">
      <alignment/>
    </xf>
    <xf numFmtId="167" fontId="9" fillId="0" borderId="42" xfId="0" applyNumberFormat="1" applyFont="1" applyBorder="1" applyAlignment="1" applyProtection="1">
      <alignment/>
      <protection/>
    </xf>
    <xf numFmtId="167" fontId="9" fillId="0" borderId="15" xfId="0" applyNumberFormat="1" applyFont="1" applyBorder="1" applyAlignment="1" applyProtection="1">
      <alignment/>
      <protection/>
    </xf>
    <xf numFmtId="166" fontId="9" fillId="0" borderId="0" xfId="0" applyNumberFormat="1" applyFont="1" applyBorder="1" applyAlignment="1" applyProtection="1">
      <alignment/>
      <protection/>
    </xf>
    <xf numFmtId="167" fontId="9" fillId="0" borderId="23" xfId="0" applyNumberFormat="1" applyFont="1" applyBorder="1" applyAlignment="1" applyProtection="1">
      <alignment/>
      <protection/>
    </xf>
    <xf numFmtId="168" fontId="9" fillId="0" borderId="24" xfId="0" applyNumberFormat="1" applyFont="1" applyBorder="1" applyAlignment="1" applyProtection="1">
      <alignment/>
      <protection/>
    </xf>
    <xf numFmtId="164" fontId="0" fillId="0" borderId="12" xfId="0" applyBorder="1" applyAlignment="1">
      <alignment/>
    </xf>
    <xf numFmtId="164" fontId="9" fillId="0" borderId="0" xfId="0" applyFont="1" applyBorder="1" applyAlignment="1" applyProtection="1">
      <alignment/>
      <protection/>
    </xf>
    <xf numFmtId="164" fontId="6" fillId="0" borderId="15" xfId="0" applyFont="1" applyBorder="1" applyAlignment="1" applyProtection="1">
      <alignment horizontal="right"/>
      <protection/>
    </xf>
    <xf numFmtId="164" fontId="6" fillId="0" borderId="52" xfId="0" applyFont="1" applyBorder="1" applyAlignment="1" applyProtection="1">
      <alignment/>
      <protection/>
    </xf>
    <xf numFmtId="164" fontId="6" fillId="0" borderId="0" xfId="0" applyFont="1" applyBorder="1" applyAlignment="1" applyProtection="1">
      <alignment/>
      <protection locked="0"/>
    </xf>
    <xf numFmtId="164" fontId="6" fillId="0" borderId="14" xfId="0" applyFont="1" applyBorder="1" applyAlignment="1" applyProtection="1">
      <alignment/>
      <protection locked="0"/>
    </xf>
    <xf numFmtId="164" fontId="9" fillId="0" borderId="27" xfId="0" applyFont="1" applyBorder="1" applyAlignment="1" applyProtection="1">
      <alignment horizontal="center"/>
      <protection/>
    </xf>
    <xf numFmtId="164" fontId="9" fillId="0" borderId="53" xfId="0" applyFont="1" applyBorder="1" applyAlignment="1" applyProtection="1" quotePrefix="1">
      <alignment horizontal="left"/>
      <protection/>
    </xf>
    <xf numFmtId="164" fontId="9" fillId="0" borderId="0" xfId="0" applyFont="1" applyBorder="1" applyAlignment="1" applyProtection="1">
      <alignment/>
      <protection locked="0"/>
    </xf>
    <xf numFmtId="164" fontId="9" fillId="0" borderId="34" xfId="0" applyFont="1" applyBorder="1" applyAlignment="1" applyProtection="1">
      <alignment/>
      <protection locked="0"/>
    </xf>
    <xf numFmtId="45" fontId="9" fillId="0" borderId="34" xfId="0" applyNumberFormat="1" applyFont="1" applyBorder="1" applyAlignment="1" applyProtection="1">
      <alignment/>
      <protection locked="0"/>
    </xf>
    <xf numFmtId="164" fontId="9" fillId="0" borderId="36" xfId="0" applyFont="1" applyBorder="1" applyAlignment="1" applyProtection="1">
      <alignment/>
      <protection locked="0"/>
    </xf>
    <xf numFmtId="45" fontId="9" fillId="0" borderId="36" xfId="0" applyNumberFormat="1" applyFont="1" applyBorder="1" applyAlignment="1" applyProtection="1">
      <alignment/>
      <protection locked="0"/>
    </xf>
    <xf numFmtId="164" fontId="8" fillId="0" borderId="36" xfId="0" applyFont="1" applyBorder="1" applyAlignment="1" applyProtection="1">
      <alignment/>
      <protection locked="0"/>
    </xf>
    <xf numFmtId="164" fontId="8" fillId="0" borderId="37" xfId="0" applyFont="1" applyBorder="1" applyAlignment="1" applyProtection="1">
      <alignment/>
      <protection locked="0"/>
    </xf>
    <xf numFmtId="164" fontId="7" fillId="0" borderId="34" xfId="0" applyFont="1" applyFill="1" applyBorder="1" applyAlignment="1" applyProtection="1">
      <alignment/>
      <protection locked="0"/>
    </xf>
    <xf numFmtId="164" fontId="7" fillId="0" borderId="0" xfId="0" applyFont="1" applyFill="1" applyBorder="1" applyAlignment="1" applyProtection="1">
      <alignment/>
      <protection locked="0"/>
    </xf>
    <xf numFmtId="164" fontId="9" fillId="0" borderId="36" xfId="0" applyFont="1" applyBorder="1" applyAlignment="1" applyProtection="1">
      <alignment horizontal="left"/>
      <protection/>
    </xf>
    <xf numFmtId="164" fontId="9" fillId="0" borderId="54" xfId="0" applyFont="1" applyBorder="1" applyAlignment="1" applyProtection="1">
      <alignment/>
      <protection/>
    </xf>
    <xf numFmtId="164" fontId="9" fillId="0" borderId="55" xfId="0" applyFont="1" applyBorder="1" applyAlignment="1" applyProtection="1">
      <alignment/>
      <protection/>
    </xf>
    <xf numFmtId="164" fontId="6" fillId="0" borderId="26" xfId="0" applyFont="1" applyBorder="1" applyAlignment="1" applyProtection="1">
      <alignment horizontal="center"/>
      <protection/>
    </xf>
    <xf numFmtId="164" fontId="15" fillId="0" borderId="31" xfId="0" applyFont="1" applyBorder="1" applyAlignment="1" applyProtection="1">
      <alignment horizontal="center"/>
      <protection/>
    </xf>
    <xf numFmtId="164" fontId="15" fillId="0" borderId="51" xfId="0" applyFont="1" applyBorder="1" applyAlignment="1" applyProtection="1">
      <alignment horizontal="center"/>
      <protection/>
    </xf>
    <xf numFmtId="164" fontId="6" fillId="0" borderId="0" xfId="0" applyFont="1" applyBorder="1" applyAlignment="1" applyProtection="1">
      <alignment/>
      <protection locked="0"/>
    </xf>
    <xf numFmtId="164" fontId="9" fillId="0" borderId="0" xfId="0" applyFont="1" applyBorder="1" applyAlignment="1" applyProtection="1">
      <alignment horizontal="right"/>
      <protection/>
    </xf>
    <xf numFmtId="164" fontId="9" fillId="0" borderId="28" xfId="0" applyFont="1" applyBorder="1" applyAlignment="1" applyProtection="1">
      <alignment horizontal="center"/>
      <protection/>
    </xf>
    <xf numFmtId="164" fontId="6" fillId="0" borderId="56" xfId="0" applyFont="1" applyBorder="1" applyAlignment="1" applyProtection="1">
      <alignment horizontal="right"/>
      <protection/>
    </xf>
    <xf numFmtId="164" fontId="6" fillId="0" borderId="26" xfId="0" applyFont="1" applyFill="1" applyBorder="1" applyAlignment="1" applyProtection="1">
      <alignment/>
      <protection/>
    </xf>
    <xf numFmtId="164" fontId="6" fillId="0" borderId="27" xfId="0" applyFont="1" applyFill="1" applyBorder="1" applyAlignment="1" applyProtection="1">
      <alignment/>
      <protection/>
    </xf>
    <xf numFmtId="164" fontId="0" fillId="22" borderId="0" xfId="0" applyFill="1" applyAlignment="1">
      <alignment/>
    </xf>
    <xf numFmtId="164" fontId="6" fillId="22" borderId="37" xfId="0" applyFont="1" applyFill="1" applyBorder="1" applyAlignment="1" applyProtection="1">
      <alignment horizontal="right"/>
      <protection/>
    </xf>
    <xf numFmtId="164" fontId="6" fillId="22" borderId="47" xfId="0" applyFont="1" applyFill="1" applyBorder="1" applyAlignment="1" applyProtection="1">
      <alignment horizontal="right"/>
      <protection/>
    </xf>
    <xf numFmtId="164" fontId="9" fillId="0" borderId="27" xfId="0" applyFont="1" applyBorder="1" applyAlignment="1" applyProtection="1">
      <alignment horizontal="left"/>
      <protection/>
    </xf>
    <xf numFmtId="164" fontId="9" fillId="0" borderId="36" xfId="0" applyFont="1" applyBorder="1" applyAlignment="1" applyProtection="1">
      <alignment/>
      <protection/>
    </xf>
    <xf numFmtId="164" fontId="9" fillId="0" borderId="34" xfId="0" applyFont="1" applyBorder="1" applyAlignment="1" applyProtection="1">
      <alignment/>
      <protection/>
    </xf>
    <xf numFmtId="164" fontId="6" fillId="0" borderId="36" xfId="0" applyFont="1" applyBorder="1" applyAlignment="1" applyProtection="1">
      <alignment/>
      <protection/>
    </xf>
    <xf numFmtId="164" fontId="6" fillId="0" borderId="34" xfId="0" applyFont="1" applyBorder="1" applyAlignment="1" applyProtection="1">
      <alignment/>
      <protection/>
    </xf>
    <xf numFmtId="164" fontId="6" fillId="0" borderId="34" xfId="0" applyFont="1" applyFill="1" applyBorder="1" applyAlignment="1" applyProtection="1">
      <alignment/>
      <protection locked="0"/>
    </xf>
    <xf numFmtId="164" fontId="6" fillId="0" borderId="36" xfId="0" applyFont="1" applyFill="1" applyBorder="1" applyAlignment="1" applyProtection="1">
      <alignment/>
      <protection locked="0"/>
    </xf>
    <xf numFmtId="164" fontId="9" fillId="0" borderId="36" xfId="0" applyFont="1" applyBorder="1" applyAlignment="1" applyProtection="1">
      <alignment horizontal="center"/>
      <protection/>
    </xf>
    <xf numFmtId="1" fontId="9" fillId="0" borderId="17" xfId="0" applyNumberFormat="1" applyFont="1" applyFill="1" applyBorder="1" applyAlignment="1" applyProtection="1">
      <alignment/>
      <protection/>
    </xf>
    <xf numFmtId="1" fontId="6" fillId="0" borderId="17" xfId="0" applyNumberFormat="1" applyFont="1" applyFill="1" applyBorder="1" applyAlignment="1" applyProtection="1">
      <alignment/>
      <protection/>
    </xf>
    <xf numFmtId="164" fontId="25" fillId="4" borderId="57" xfId="0" applyFont="1" applyFill="1" applyBorder="1" applyAlignment="1" applyProtection="1">
      <alignment/>
      <protection/>
    </xf>
    <xf numFmtId="164" fontId="7" fillId="0" borderId="13" xfId="0" applyFont="1" applyBorder="1" applyAlignment="1" applyProtection="1">
      <alignment/>
      <protection locked="0"/>
    </xf>
    <xf numFmtId="164" fontId="10" fillId="0" borderId="0" xfId="0" applyFont="1" applyBorder="1" applyAlignment="1">
      <alignment/>
    </xf>
    <xf numFmtId="164" fontId="25" fillId="0" borderId="40" xfId="0" applyFont="1" applyBorder="1" applyAlignment="1">
      <alignment/>
    </xf>
    <xf numFmtId="164" fontId="0" fillId="0" borderId="13" xfId="0" applyFont="1" applyBorder="1" applyAlignment="1" applyProtection="1">
      <alignment horizontal="right"/>
      <protection locked="0"/>
    </xf>
    <xf numFmtId="164" fontId="0" fillId="0" borderId="13" xfId="0" applyFont="1" applyBorder="1" applyAlignment="1" applyProtection="1">
      <alignment/>
      <protection locked="0"/>
    </xf>
    <xf numFmtId="164" fontId="10" fillId="0" borderId="13" xfId="0" applyFont="1" applyBorder="1" applyAlignment="1" applyProtection="1">
      <alignment/>
      <protection locked="0"/>
    </xf>
    <xf numFmtId="164" fontId="5" fillId="0" borderId="13" xfId="0" applyFont="1" applyBorder="1" applyAlignment="1" applyProtection="1">
      <alignment/>
      <protection locked="0"/>
    </xf>
    <xf numFmtId="164" fontId="10" fillId="0" borderId="13" xfId="0" applyFont="1" applyBorder="1" applyAlignment="1">
      <alignment/>
    </xf>
    <xf numFmtId="164" fontId="10" fillId="0" borderId="11" xfId="0" applyFont="1" applyBorder="1" applyAlignment="1" applyProtection="1">
      <alignment/>
      <protection/>
    </xf>
    <xf numFmtId="164" fontId="9" fillId="0" borderId="58" xfId="0" applyFont="1" applyBorder="1" applyAlignment="1" applyProtection="1">
      <alignment horizontal="center"/>
      <protection/>
    </xf>
    <xf numFmtId="164" fontId="6" fillId="0" borderId="25" xfId="0" applyFont="1" applyBorder="1" applyAlignment="1" applyProtection="1">
      <alignment horizontal="center"/>
      <protection/>
    </xf>
    <xf numFmtId="164" fontId="7" fillId="0" borderId="40" xfId="0" applyFont="1" applyFill="1" applyBorder="1" applyAlignment="1" applyProtection="1">
      <alignment/>
      <protection locked="0"/>
    </xf>
    <xf numFmtId="164" fontId="7" fillId="0" borderId="13" xfId="0" applyFont="1" applyFill="1" applyBorder="1" applyAlignment="1" applyProtection="1">
      <alignment/>
      <protection locked="0"/>
    </xf>
    <xf numFmtId="164" fontId="8" fillId="0" borderId="40" xfId="0" applyFont="1" applyBorder="1" applyAlignment="1" applyProtection="1">
      <alignment/>
      <protection locked="0"/>
    </xf>
    <xf numFmtId="164" fontId="7" fillId="0" borderId="40" xfId="0" applyFont="1" applyBorder="1" applyAlignment="1" applyProtection="1">
      <alignment/>
      <protection locked="0"/>
    </xf>
    <xf numFmtId="164" fontId="6" fillId="0" borderId="34" xfId="0" applyFont="1" applyBorder="1" applyAlignment="1" applyProtection="1">
      <alignment/>
      <protection locked="0"/>
    </xf>
    <xf numFmtId="164" fontId="6" fillId="22" borderId="36" xfId="0" applyFont="1" applyFill="1" applyBorder="1" applyAlignment="1" applyProtection="1">
      <alignment horizontal="right"/>
      <protection/>
    </xf>
    <xf numFmtId="164" fontId="6" fillId="0" borderId="48" xfId="0" applyFont="1" applyBorder="1" applyAlignment="1" applyProtection="1">
      <alignment horizontal="right"/>
      <protection/>
    </xf>
    <xf numFmtId="164" fontId="6" fillId="0" borderId="35" xfId="0" applyFont="1" applyFill="1" applyBorder="1" applyAlignment="1" applyProtection="1">
      <alignment/>
      <protection/>
    </xf>
    <xf numFmtId="164" fontId="9" fillId="0" borderId="34" xfId="0" applyFont="1" applyBorder="1" applyAlignment="1" applyProtection="1">
      <alignment horizontal="center"/>
      <protection/>
    </xf>
    <xf numFmtId="164" fontId="9" fillId="0" borderId="35" xfId="0" applyFont="1" applyBorder="1" applyAlignment="1" applyProtection="1">
      <alignment horizontal="center"/>
      <protection/>
    </xf>
    <xf numFmtId="164" fontId="10" fillId="0" borderId="12" xfId="0" applyFont="1" applyBorder="1" applyAlignment="1">
      <alignment/>
    </xf>
    <xf numFmtId="164" fontId="9" fillId="0" borderId="40" xfId="0" applyFont="1" applyBorder="1" applyAlignment="1" applyProtection="1">
      <alignment horizontal="center"/>
      <protection/>
    </xf>
    <xf numFmtId="45" fontId="9" fillId="0" borderId="13" xfId="0" applyNumberFormat="1" applyFont="1" applyBorder="1" applyAlignment="1" applyProtection="1">
      <alignment/>
      <protection locked="0"/>
    </xf>
    <xf numFmtId="45" fontId="9" fillId="0" borderId="40" xfId="0" applyNumberFormat="1" applyFont="1" applyBorder="1" applyAlignment="1" applyProtection="1">
      <alignment/>
      <protection locked="0"/>
    </xf>
    <xf numFmtId="164" fontId="9" fillId="22" borderId="37" xfId="0" applyFont="1" applyFill="1" applyBorder="1" applyAlignment="1" applyProtection="1">
      <alignment horizontal="left"/>
      <protection/>
    </xf>
    <xf numFmtId="164" fontId="9" fillId="0" borderId="45" xfId="0" applyFont="1" applyBorder="1" applyAlignment="1" applyProtection="1">
      <alignment horizontal="center"/>
      <protection/>
    </xf>
    <xf numFmtId="164" fontId="6" fillId="0" borderId="27" xfId="0" applyFont="1" applyBorder="1" applyAlignment="1" applyProtection="1">
      <alignment horizontal="center"/>
      <protection/>
    </xf>
    <xf numFmtId="164" fontId="7" fillId="0" borderId="47" xfId="0" applyFont="1" applyFill="1" applyBorder="1" applyAlignment="1" applyProtection="1">
      <alignment/>
      <protection locked="0"/>
    </xf>
    <xf numFmtId="164" fontId="7" fillId="0" borderId="14" xfId="0" applyFont="1" applyFill="1" applyBorder="1" applyAlignment="1" applyProtection="1">
      <alignment/>
      <protection locked="0"/>
    </xf>
    <xf numFmtId="164" fontId="8" fillId="0" borderId="47" xfId="0" applyFont="1" applyBorder="1" applyAlignment="1" applyProtection="1">
      <alignment/>
      <protection locked="0"/>
    </xf>
    <xf numFmtId="164" fontId="7" fillId="0" borderId="47" xfId="0" applyFont="1" applyBorder="1" applyAlignment="1" applyProtection="1">
      <alignment/>
      <protection locked="0"/>
    </xf>
    <xf numFmtId="164" fontId="6" fillId="0" borderId="34" xfId="0" applyFont="1" applyBorder="1" applyAlignment="1" applyProtection="1">
      <alignment horizontal="right"/>
      <protection/>
    </xf>
    <xf numFmtId="164" fontId="6" fillId="0" borderId="34" xfId="0" applyFont="1" applyFill="1" applyBorder="1" applyAlignment="1" applyProtection="1">
      <alignment/>
      <protection/>
    </xf>
    <xf numFmtId="164" fontId="10" fillId="0" borderId="48" xfId="0" applyFont="1" applyBorder="1" applyAlignment="1">
      <alignment/>
    </xf>
    <xf numFmtId="164" fontId="6" fillId="0" borderId="26" xfId="0" applyFont="1" applyBorder="1" applyAlignment="1" applyProtection="1">
      <alignment horizontal="right"/>
      <protection/>
    </xf>
    <xf numFmtId="164" fontId="10" fillId="7" borderId="23" xfId="0" applyFont="1" applyFill="1" applyBorder="1" applyAlignment="1" applyProtection="1">
      <alignment/>
      <protection/>
    </xf>
    <xf numFmtId="164" fontId="0" fillId="7" borderId="38" xfId="0" applyFill="1" applyBorder="1" applyAlignment="1" applyProtection="1">
      <alignment/>
      <protection/>
    </xf>
    <xf numFmtId="164" fontId="10" fillId="4" borderId="23" xfId="0" applyFont="1" applyFill="1" applyBorder="1" applyAlignment="1" applyProtection="1">
      <alignment/>
      <protection/>
    </xf>
    <xf numFmtId="164" fontId="0" fillId="0" borderId="0" xfId="0" applyFont="1" applyAlignment="1">
      <alignment/>
    </xf>
    <xf numFmtId="164" fontId="0" fillId="0" borderId="23" xfId="0" applyFont="1" applyBorder="1" applyAlignment="1" applyProtection="1">
      <alignment/>
      <protection/>
    </xf>
    <xf numFmtId="164" fontId="0" fillId="0" borderId="24" xfId="0" applyFont="1" applyBorder="1" applyAlignment="1">
      <alignment/>
    </xf>
    <xf numFmtId="164" fontId="6" fillId="0" borderId="32" xfId="0" applyFont="1" applyFill="1" applyBorder="1" applyAlignment="1" applyProtection="1">
      <alignment horizontal="center"/>
      <protection/>
    </xf>
    <xf numFmtId="164" fontId="6" fillId="0" borderId="16" xfId="0" applyFont="1" applyFill="1" applyBorder="1" applyAlignment="1" applyProtection="1">
      <alignment horizontal="center"/>
      <protection/>
    </xf>
    <xf numFmtId="164" fontId="6" fillId="0" borderId="32" xfId="0" applyFont="1" applyFill="1" applyBorder="1" applyAlignment="1" applyProtection="1">
      <alignment horizontal="left"/>
      <protection/>
    </xf>
    <xf numFmtId="165" fontId="9" fillId="0" borderId="17" xfId="0" applyNumberFormat="1" applyFont="1" applyFill="1" applyBorder="1" applyAlignment="1" applyProtection="1">
      <alignment/>
      <protection/>
    </xf>
    <xf numFmtId="164" fontId="6" fillId="0" borderId="38" xfId="0" applyFont="1" applyFill="1" applyBorder="1" applyAlignment="1" applyProtection="1">
      <alignment horizontal="center"/>
      <protection/>
    </xf>
    <xf numFmtId="166" fontId="9" fillId="0" borderId="17" xfId="0" applyNumberFormat="1" applyFont="1" applyFill="1" applyBorder="1" applyAlignment="1" applyProtection="1">
      <alignment/>
      <protection/>
    </xf>
    <xf numFmtId="166" fontId="6" fillId="0" borderId="16" xfId="0" applyNumberFormat="1" applyFont="1" applyFill="1" applyBorder="1" applyAlignment="1" applyProtection="1">
      <alignment/>
      <protection/>
    </xf>
    <xf numFmtId="164" fontId="6" fillId="0" borderId="40" xfId="0" applyFont="1" applyBorder="1" applyAlignment="1" applyProtection="1">
      <alignment/>
      <protection locked="0"/>
    </xf>
    <xf numFmtId="164" fontId="9" fillId="22" borderId="36" xfId="0" applyFont="1" applyFill="1" applyBorder="1" applyAlignment="1" applyProtection="1">
      <alignment/>
      <protection locked="0"/>
    </xf>
    <xf numFmtId="164" fontId="9" fillId="0" borderId="47" xfId="0" applyFont="1" applyBorder="1" applyAlignment="1" applyProtection="1">
      <alignment/>
      <protection locked="0"/>
    </xf>
    <xf numFmtId="164" fontId="9" fillId="0" borderId="37" xfId="0" applyFont="1" applyBorder="1" applyAlignment="1" applyProtection="1">
      <alignment/>
      <protection locked="0"/>
    </xf>
    <xf numFmtId="164" fontId="8" fillId="0" borderId="37" xfId="0" applyFont="1" applyBorder="1" applyAlignment="1" applyProtection="1">
      <alignment/>
      <protection locked="0"/>
    </xf>
    <xf numFmtId="164" fontId="8" fillId="0" borderId="36" xfId="0" applyFont="1" applyBorder="1" applyAlignment="1" applyProtection="1">
      <alignment/>
      <protection locked="0"/>
    </xf>
    <xf numFmtId="164" fontId="10" fillId="0" borderId="37" xfId="0" applyFont="1" applyBorder="1" applyAlignment="1">
      <alignment/>
    </xf>
    <xf numFmtId="164" fontId="6" fillId="0" borderId="38" xfId="0" applyFont="1" applyFill="1" applyBorder="1" applyAlignment="1" applyProtection="1" quotePrefix="1">
      <alignment horizontal="center"/>
      <protection/>
    </xf>
    <xf numFmtId="164" fontId="0" fillId="0" borderId="24" xfId="0" applyFont="1" applyBorder="1" applyAlignment="1" applyProtection="1">
      <alignment/>
      <protection/>
    </xf>
    <xf numFmtId="164" fontId="0" fillId="0" borderId="0" xfId="0" applyFont="1" applyBorder="1" applyAlignment="1">
      <alignment/>
    </xf>
    <xf numFmtId="167" fontId="9" fillId="0" borderId="0" xfId="0" applyNumberFormat="1" applyFont="1" applyBorder="1" applyAlignment="1" applyProtection="1">
      <alignment/>
      <protection/>
    </xf>
    <xf numFmtId="164" fontId="6" fillId="0" borderId="38" xfId="0" applyFont="1" applyFill="1" applyBorder="1" applyAlignment="1" applyProtection="1">
      <alignment horizontal="left"/>
      <protection/>
    </xf>
    <xf numFmtId="164" fontId="0" fillId="0" borderId="13" xfId="0" applyFont="1" applyBorder="1" applyAlignment="1">
      <alignment/>
    </xf>
    <xf numFmtId="164" fontId="9" fillId="22" borderId="47" xfId="0" applyFont="1" applyFill="1" applyBorder="1" applyAlignment="1" applyProtection="1">
      <alignment/>
      <protection locked="0"/>
    </xf>
    <xf numFmtId="164" fontId="9" fillId="22" borderId="37" xfId="0" applyFont="1" applyFill="1" applyBorder="1" applyAlignment="1" applyProtection="1">
      <alignment/>
      <protection locked="0"/>
    </xf>
    <xf numFmtId="45" fontId="9" fillId="22" borderId="40" xfId="0" applyNumberFormat="1" applyFont="1" applyFill="1" applyBorder="1" applyAlignment="1" applyProtection="1">
      <alignment/>
      <protection locked="0"/>
    </xf>
    <xf numFmtId="164" fontId="10" fillId="0" borderId="34" xfId="0" applyFont="1" applyBorder="1" applyAlignment="1">
      <alignment/>
    </xf>
    <xf numFmtId="164" fontId="10" fillId="0" borderId="13" xfId="0" applyFont="1" applyBorder="1" applyAlignment="1" applyProtection="1">
      <alignment/>
      <protection/>
    </xf>
    <xf numFmtId="164" fontId="10" fillId="7" borderId="38" xfId="0" applyFont="1" applyFill="1" applyBorder="1" applyAlignment="1" applyProtection="1">
      <alignment/>
      <protection/>
    </xf>
    <xf numFmtId="167" fontId="6" fillId="0" borderId="0" xfId="0" applyNumberFormat="1" applyFont="1" applyBorder="1" applyAlignment="1" applyProtection="1">
      <alignment/>
      <protection/>
    </xf>
    <xf numFmtId="1" fontId="9" fillId="0" borderId="17" xfId="0" applyNumberFormat="1" applyFont="1" applyFill="1" applyBorder="1" applyAlignment="1" applyProtection="1">
      <alignment horizontal="right"/>
      <protection/>
    </xf>
    <xf numFmtId="164" fontId="0" fillId="0" borderId="34" xfId="0" applyFont="1" applyBorder="1" applyAlignment="1">
      <alignment/>
    </xf>
    <xf numFmtId="164" fontId="6" fillId="0" borderId="44" xfId="0" applyFont="1" applyBorder="1" applyAlignment="1" applyProtection="1" quotePrefix="1">
      <alignment horizontal="left"/>
      <protection/>
    </xf>
    <xf numFmtId="164" fontId="6" fillId="0" borderId="37" xfId="0" applyFont="1" applyBorder="1" applyAlignment="1">
      <alignment/>
    </xf>
    <xf numFmtId="164" fontId="6" fillId="0" borderId="12" xfId="0" applyFont="1" applyBorder="1" applyAlignment="1">
      <alignment/>
    </xf>
    <xf numFmtId="164" fontId="6" fillId="7" borderId="48" xfId="0" applyFont="1" applyFill="1" applyBorder="1" applyAlignment="1" applyProtection="1">
      <alignment horizontal="center"/>
      <protection/>
    </xf>
    <xf numFmtId="164" fontId="6" fillId="7" borderId="59" xfId="0" applyFont="1" applyFill="1" applyBorder="1" applyAlignment="1" applyProtection="1">
      <alignment horizontal="center"/>
      <protection/>
    </xf>
    <xf numFmtId="164" fontId="6" fillId="7" borderId="34" xfId="0" applyFont="1" applyFill="1" applyBorder="1" applyAlignment="1" applyProtection="1">
      <alignment horizontal="center"/>
      <protection/>
    </xf>
    <xf numFmtId="164" fontId="6" fillId="7" borderId="35" xfId="0" applyFont="1" applyFill="1" applyBorder="1" applyAlignment="1" applyProtection="1">
      <alignment horizontal="center"/>
      <protection/>
    </xf>
    <xf numFmtId="164" fontId="6" fillId="7" borderId="22" xfId="0" applyFont="1" applyFill="1" applyBorder="1" applyAlignment="1" applyProtection="1">
      <alignment horizontal="center"/>
      <protection/>
    </xf>
    <xf numFmtId="164" fontId="6" fillId="0" borderId="60" xfId="0" applyFont="1" applyBorder="1" applyAlignment="1" applyProtection="1">
      <alignment horizontal="center"/>
      <protection/>
    </xf>
    <xf numFmtId="164" fontId="6" fillId="0" borderId="61" xfId="0" applyFont="1" applyBorder="1" applyAlignment="1" applyProtection="1">
      <alignment/>
      <protection/>
    </xf>
    <xf numFmtId="164" fontId="6" fillId="0" borderId="28" xfId="0" applyFont="1" applyBorder="1" applyAlignment="1" applyProtection="1">
      <alignment/>
      <protection/>
    </xf>
    <xf numFmtId="164" fontId="10" fillId="0" borderId="28" xfId="0" applyFont="1" applyBorder="1" applyAlignment="1">
      <alignment/>
    </xf>
    <xf numFmtId="164" fontId="6" fillId="0" borderId="62" xfId="0" applyFont="1" applyBorder="1" applyAlignment="1" applyProtection="1" quotePrefix="1">
      <alignment/>
      <protection/>
    </xf>
    <xf numFmtId="164" fontId="6" fillId="0" borderId="63" xfId="0" applyFont="1" applyBorder="1" applyAlignment="1" applyProtection="1">
      <alignment/>
      <protection/>
    </xf>
    <xf numFmtId="166" fontId="9" fillId="0" borderId="28" xfId="0" applyNumberFormat="1" applyFont="1" applyBorder="1" applyAlignment="1" applyProtection="1">
      <alignment/>
      <protection/>
    </xf>
    <xf numFmtId="164" fontId="6" fillId="0" borderId="60" xfId="0" applyFont="1" applyBorder="1" applyAlignment="1" applyProtection="1">
      <alignment/>
      <protection/>
    </xf>
    <xf numFmtId="164" fontId="0" fillId="4" borderId="60" xfId="0" applyFill="1" applyBorder="1" applyAlignment="1">
      <alignment/>
    </xf>
    <xf numFmtId="164" fontId="0" fillId="7" borderId="64" xfId="0" applyFill="1" applyBorder="1" applyAlignment="1">
      <alignment/>
    </xf>
    <xf numFmtId="164" fontId="0" fillId="0" borderId="65" xfId="0" applyBorder="1" applyAlignment="1">
      <alignment/>
    </xf>
    <xf numFmtId="164" fontId="10" fillId="0" borderId="58" xfId="0" applyFont="1" applyBorder="1" applyAlignment="1" applyProtection="1">
      <alignment/>
      <protection/>
    </xf>
    <xf numFmtId="164" fontId="10" fillId="0" borderId="58" xfId="0" applyFont="1" applyBorder="1" applyAlignment="1">
      <alignment/>
    </xf>
    <xf numFmtId="164" fontId="7" fillId="0" borderId="26" xfId="0" applyFont="1" applyBorder="1" applyAlignment="1" applyProtection="1">
      <alignment/>
      <protection locked="0"/>
    </xf>
    <xf numFmtId="164" fontId="0" fillId="0" borderId="0" xfId="0" applyFill="1" applyBorder="1" applyAlignment="1">
      <alignment/>
    </xf>
    <xf numFmtId="164" fontId="6" fillId="0" borderId="19" xfId="0" applyFont="1" applyBorder="1" applyAlignment="1" applyProtection="1">
      <alignment horizontal="center"/>
      <protection/>
    </xf>
    <xf numFmtId="164" fontId="6" fillId="0" borderId="30" xfId="0" applyFont="1" applyBorder="1" applyAlignment="1" applyProtection="1">
      <alignment horizontal="left"/>
      <protection/>
    </xf>
    <xf numFmtId="164" fontId="0" fillId="4" borderId="23" xfId="0" applyFont="1" applyFill="1" applyBorder="1" applyAlignment="1" applyProtection="1">
      <alignment/>
      <protection/>
    </xf>
    <xf numFmtId="164" fontId="37" fillId="0" borderId="37" xfId="0" applyFont="1" applyBorder="1" applyAlignment="1" applyProtection="1">
      <alignment/>
      <protection/>
    </xf>
    <xf numFmtId="164" fontId="9" fillId="0" borderId="11" xfId="0" applyFont="1" applyBorder="1" applyAlignment="1" applyProtection="1">
      <alignment horizontal="right"/>
      <protection/>
    </xf>
    <xf numFmtId="164" fontId="9" fillId="0" borderId="0" xfId="0" applyFont="1" applyAlignment="1" applyProtection="1">
      <alignment/>
      <protection/>
    </xf>
    <xf numFmtId="165" fontId="9" fillId="0" borderId="0" xfId="0" applyNumberFormat="1" applyFont="1" applyAlignment="1" applyProtection="1">
      <alignment/>
      <protection/>
    </xf>
    <xf numFmtId="165" fontId="8" fillId="0" borderId="0" xfId="0" applyNumberFormat="1" applyFont="1" applyAlignment="1" applyProtection="1">
      <alignment/>
      <protection locked="0"/>
    </xf>
    <xf numFmtId="172" fontId="9" fillId="0" borderId="26" xfId="0" applyNumberFormat="1" applyFont="1" applyBorder="1" applyAlignment="1" applyProtection="1">
      <alignment/>
      <protection/>
    </xf>
    <xf numFmtId="164" fontId="9" fillId="0" borderId="0" xfId="0" applyFont="1" applyBorder="1" applyAlignment="1" applyProtection="1">
      <alignment horizontal="left"/>
      <protection/>
    </xf>
    <xf numFmtId="164" fontId="9" fillId="0" borderId="0" xfId="0" applyFont="1" applyAlignment="1" applyProtection="1">
      <alignment horizontal="right"/>
      <protection/>
    </xf>
    <xf numFmtId="164" fontId="9" fillId="0" borderId="26" xfId="0" applyFont="1" applyBorder="1" applyAlignment="1" applyProtection="1">
      <alignment horizontal="right"/>
      <protection/>
    </xf>
    <xf numFmtId="164" fontId="6" fillId="0" borderId="34" xfId="0" applyFont="1" applyBorder="1" applyAlignment="1" applyProtection="1">
      <alignment/>
      <protection locked="0"/>
    </xf>
    <xf numFmtId="45" fontId="6" fillId="0" borderId="13" xfId="0" applyNumberFormat="1" applyFont="1" applyBorder="1" applyAlignment="1" applyProtection="1">
      <alignment/>
      <protection locked="0"/>
    </xf>
    <xf numFmtId="45" fontId="6" fillId="0" borderId="36" xfId="0" applyNumberFormat="1" applyFont="1" applyBorder="1" applyAlignment="1" applyProtection="1">
      <alignment/>
      <protection locked="0"/>
    </xf>
    <xf numFmtId="164" fontId="7" fillId="0" borderId="47" xfId="0" applyFont="1" applyBorder="1" applyAlignment="1" applyProtection="1">
      <alignment/>
      <protection locked="0"/>
    </xf>
    <xf numFmtId="164" fontId="7" fillId="0" borderId="37" xfId="0" applyFont="1" applyBorder="1" applyAlignment="1" applyProtection="1">
      <alignment/>
      <protection locked="0"/>
    </xf>
    <xf numFmtId="164" fontId="7" fillId="0" borderId="40" xfId="0" applyFont="1" applyBorder="1" applyAlignment="1" applyProtection="1">
      <alignment/>
      <protection locked="0"/>
    </xf>
    <xf numFmtId="164" fontId="7" fillId="0" borderId="36" xfId="0" applyFont="1" applyBorder="1" applyAlignment="1" applyProtection="1">
      <alignment/>
      <protection locked="0"/>
    </xf>
    <xf numFmtId="164" fontId="0" fillId="0" borderId="37" xfId="0" applyFont="1" applyBorder="1" applyAlignment="1">
      <alignment/>
    </xf>
    <xf numFmtId="45" fontId="6" fillId="0" borderId="34" xfId="0" applyNumberFormat="1" applyFont="1" applyBorder="1" applyAlignment="1" applyProtection="1">
      <alignment/>
      <protection locked="0"/>
    </xf>
    <xf numFmtId="164" fontId="6" fillId="0" borderId="36" xfId="0" applyFont="1" applyBorder="1" applyAlignment="1" applyProtection="1">
      <alignment/>
      <protection locked="0"/>
    </xf>
    <xf numFmtId="45" fontId="6" fillId="0" borderId="40" xfId="0" applyNumberFormat="1" applyFont="1" applyBorder="1" applyAlignment="1" applyProtection="1">
      <alignment/>
      <protection locked="0"/>
    </xf>
    <xf numFmtId="164" fontId="10" fillId="0" borderId="36" xfId="0" applyFont="1" applyBorder="1" applyAlignment="1">
      <alignment/>
    </xf>
    <xf numFmtId="164" fontId="0" fillId="0" borderId="36" xfId="0" applyFont="1" applyBorder="1" applyAlignment="1">
      <alignment/>
    </xf>
    <xf numFmtId="164" fontId="0" fillId="0" borderId="56" xfId="0" applyBorder="1" applyAlignment="1">
      <alignment/>
    </xf>
    <xf numFmtId="164" fontId="0" fillId="0" borderId="27" xfId="0" applyBorder="1" applyAlignment="1">
      <alignment/>
    </xf>
    <xf numFmtId="164" fontId="6" fillId="0" borderId="0" xfId="0" applyFont="1" applyBorder="1" applyAlignment="1">
      <alignment/>
    </xf>
    <xf numFmtId="167" fontId="6" fillId="0" borderId="0" xfId="0" applyNumberFormat="1" applyFont="1" applyAlignment="1">
      <alignment/>
    </xf>
    <xf numFmtId="167" fontId="6" fillId="0" borderId="0" xfId="0" applyNumberFormat="1" applyFont="1" applyAlignment="1" applyProtection="1">
      <alignment horizontal="left"/>
      <protection/>
    </xf>
    <xf numFmtId="167" fontId="6" fillId="0" borderId="0" xfId="0" applyNumberFormat="1" applyFont="1" applyAlignment="1" applyProtection="1">
      <alignment/>
      <protection/>
    </xf>
    <xf numFmtId="170" fontId="6" fillId="0" borderId="34" xfId="0" applyNumberFormat="1" applyFont="1" applyBorder="1" applyAlignment="1" applyProtection="1">
      <alignment/>
      <protection/>
    </xf>
    <xf numFmtId="170" fontId="6" fillId="0" borderId="35" xfId="0" applyNumberFormat="1" applyFont="1" applyBorder="1" applyAlignment="1" applyProtection="1">
      <alignment/>
      <protection/>
    </xf>
    <xf numFmtId="167" fontId="9" fillId="0" borderId="48" xfId="0" applyNumberFormat="1" applyFont="1" applyBorder="1" applyAlignment="1" applyProtection="1">
      <alignment horizontal="center"/>
      <protection/>
    </xf>
    <xf numFmtId="167" fontId="9" fillId="0" borderId="0" xfId="0" applyNumberFormat="1" applyFont="1" applyAlignment="1">
      <alignment/>
    </xf>
    <xf numFmtId="167" fontId="9" fillId="0" borderId="0" xfId="0" applyNumberFormat="1" applyFont="1" applyAlignment="1" applyProtection="1">
      <alignment horizontal="left"/>
      <protection/>
    </xf>
    <xf numFmtId="167" fontId="10" fillId="0" borderId="0" xfId="0" applyNumberFormat="1" applyFont="1" applyAlignment="1">
      <alignment/>
    </xf>
    <xf numFmtId="167" fontId="9" fillId="0" borderId="36" xfId="0" applyNumberFormat="1" applyFont="1" applyBorder="1" applyAlignment="1" applyProtection="1">
      <alignment horizontal="center"/>
      <protection/>
    </xf>
    <xf numFmtId="167" fontId="9" fillId="0" borderId="37" xfId="0" applyNumberFormat="1" applyFont="1" applyBorder="1" applyAlignment="1" applyProtection="1">
      <alignment horizontal="right"/>
      <protection/>
    </xf>
    <xf numFmtId="167" fontId="10" fillId="0" borderId="37" xfId="0" applyNumberFormat="1" applyFont="1" applyBorder="1" applyAlignment="1">
      <alignment/>
    </xf>
    <xf numFmtId="167" fontId="10" fillId="0" borderId="0" xfId="0" applyNumberFormat="1" applyFont="1" applyAlignment="1" applyProtection="1">
      <alignment/>
      <protection locked="0"/>
    </xf>
    <xf numFmtId="167" fontId="6" fillId="0" borderId="23" xfId="0" applyNumberFormat="1" applyFont="1" applyBorder="1" applyAlignment="1" applyProtection="1">
      <alignment/>
      <protection/>
    </xf>
    <xf numFmtId="167" fontId="6" fillId="0" borderId="23" xfId="0" applyNumberFormat="1" applyFont="1" applyBorder="1" applyAlignment="1">
      <alignment/>
    </xf>
    <xf numFmtId="167" fontId="6" fillId="0" borderId="60" xfId="0" applyNumberFormat="1" applyFont="1" applyBorder="1" applyAlignment="1" applyProtection="1">
      <alignment/>
      <protection/>
    </xf>
    <xf numFmtId="167" fontId="9" fillId="0" borderId="57" xfId="0" applyNumberFormat="1" applyFont="1" applyBorder="1" applyAlignment="1" applyProtection="1">
      <alignment horizontal="right"/>
      <protection/>
    </xf>
    <xf numFmtId="164" fontId="9" fillId="0" borderId="26" xfId="0" applyFont="1" applyBorder="1" applyAlignment="1" applyProtection="1">
      <alignment horizontal="right"/>
      <protection/>
    </xf>
    <xf numFmtId="164" fontId="9" fillId="0" borderId="12" xfId="0" applyFont="1" applyBorder="1" applyAlignment="1" applyProtection="1">
      <alignment horizontal="left"/>
      <protection/>
    </xf>
    <xf numFmtId="164" fontId="6" fillId="0" borderId="66" xfId="0" applyFont="1" applyBorder="1" applyAlignment="1">
      <alignment/>
    </xf>
    <xf numFmtId="164" fontId="6" fillId="0" borderId="31" xfId="0" applyFont="1" applyBorder="1" applyAlignment="1">
      <alignment/>
    </xf>
    <xf numFmtId="164" fontId="24" fillId="0" borderId="26" xfId="0" applyFont="1" applyBorder="1" applyAlignment="1" applyProtection="1">
      <alignment/>
      <protection locked="0"/>
    </xf>
    <xf numFmtId="164" fontId="9" fillId="0" borderId="20" xfId="0" applyFont="1" applyBorder="1" applyAlignment="1" applyProtection="1">
      <alignment horizontal="center"/>
      <protection/>
    </xf>
    <xf numFmtId="164" fontId="9" fillId="0" borderId="38" xfId="0" applyFont="1" applyBorder="1" applyAlignment="1" applyProtection="1">
      <alignment horizontal="center"/>
      <protection/>
    </xf>
    <xf numFmtId="164" fontId="0" fillId="0" borderId="13" xfId="0" applyFont="1" applyBorder="1" applyAlignment="1" applyProtection="1">
      <alignment/>
      <protection/>
    </xf>
    <xf numFmtId="45" fontId="9" fillId="0" borderId="48" xfId="0" applyNumberFormat="1" applyFont="1" applyBorder="1" applyAlignment="1" applyProtection="1">
      <alignment/>
      <protection locked="0"/>
    </xf>
    <xf numFmtId="164" fontId="7" fillId="0" borderId="48" xfId="0" applyFont="1" applyFill="1" applyBorder="1" applyAlignment="1" applyProtection="1">
      <alignment/>
      <protection locked="0"/>
    </xf>
    <xf numFmtId="164" fontId="7" fillId="0" borderId="48" xfId="0" applyFont="1" applyBorder="1" applyAlignment="1" applyProtection="1">
      <alignment/>
      <protection locked="0"/>
    </xf>
    <xf numFmtId="164" fontId="0" fillId="0" borderId="47" xfId="0" applyBorder="1" applyAlignment="1">
      <alignment/>
    </xf>
    <xf numFmtId="164" fontId="0" fillId="0" borderId="47" xfId="0" applyFont="1" applyBorder="1" applyAlignment="1">
      <alignment/>
    </xf>
    <xf numFmtId="164" fontId="10" fillId="0" borderId="47" xfId="0" applyFont="1" applyBorder="1" applyAlignment="1">
      <alignment/>
    </xf>
    <xf numFmtId="164" fontId="9" fillId="0" borderId="11" xfId="0" applyFont="1" applyBorder="1" applyAlignment="1" applyProtection="1">
      <alignment/>
      <protection/>
    </xf>
    <xf numFmtId="164" fontId="0" fillId="0" borderId="11" xfId="0" applyBorder="1" applyAlignment="1" applyProtection="1">
      <alignment/>
      <protection/>
    </xf>
    <xf numFmtId="164" fontId="0" fillId="0" borderId="12" xfId="0" applyBorder="1" applyAlignment="1" applyProtection="1">
      <alignment/>
      <protection/>
    </xf>
    <xf numFmtId="164" fontId="0" fillId="0" borderId="12" xfId="0" applyFont="1" applyBorder="1" applyAlignment="1" applyProtection="1">
      <alignment/>
      <protection/>
    </xf>
    <xf numFmtId="164" fontId="10" fillId="0" borderId="12" xfId="0" applyFont="1" applyBorder="1" applyAlignment="1" applyProtection="1">
      <alignment/>
      <protection/>
    </xf>
    <xf numFmtId="164" fontId="0" fillId="0" borderId="67" xfId="0" applyBorder="1" applyAlignment="1" applyProtection="1">
      <alignment/>
      <protection/>
    </xf>
    <xf numFmtId="164" fontId="5" fillId="0" borderId="12" xfId="0" applyFont="1" applyBorder="1" applyAlignment="1" applyProtection="1">
      <alignment/>
      <protection locked="0"/>
    </xf>
    <xf numFmtId="164" fontId="13" fillId="0" borderId="13" xfId="0" applyFont="1" applyBorder="1" applyAlignment="1">
      <alignment/>
    </xf>
    <xf numFmtId="164" fontId="13" fillId="0" borderId="11" xfId="0" applyFont="1" applyBorder="1" applyAlignment="1">
      <alignment/>
    </xf>
    <xf numFmtId="164" fontId="6" fillId="0" borderId="25" xfId="0" applyFont="1" applyBorder="1" applyAlignment="1" applyProtection="1">
      <alignment horizontal="left"/>
      <protection/>
    </xf>
    <xf numFmtId="164" fontId="0" fillId="0" borderId="13" xfId="0" applyFont="1" applyBorder="1" applyAlignment="1">
      <alignment/>
    </xf>
    <xf numFmtId="45" fontId="9" fillId="22" borderId="36" xfId="0" applyNumberFormat="1" applyFont="1" applyFill="1" applyBorder="1" applyAlignment="1" applyProtection="1">
      <alignment/>
      <protection locked="0"/>
    </xf>
    <xf numFmtId="164" fontId="8" fillId="22" borderId="47" xfId="0" applyFont="1" applyFill="1" applyBorder="1" applyAlignment="1" applyProtection="1">
      <alignment/>
      <protection locked="0"/>
    </xf>
    <xf numFmtId="164" fontId="8" fillId="22" borderId="37" xfId="0" applyFont="1" applyFill="1" applyBorder="1" applyAlignment="1" applyProtection="1">
      <alignment/>
      <protection locked="0"/>
    </xf>
    <xf numFmtId="164" fontId="8" fillId="22" borderId="40" xfId="0" applyFont="1" applyFill="1" applyBorder="1" applyAlignment="1" applyProtection="1">
      <alignment/>
      <protection locked="0"/>
    </xf>
    <xf numFmtId="164" fontId="8" fillId="22" borderId="36" xfId="0" applyFont="1" applyFill="1" applyBorder="1" applyAlignment="1" applyProtection="1">
      <alignment/>
      <protection locked="0"/>
    </xf>
    <xf numFmtId="168" fontId="6" fillId="0" borderId="14" xfId="0" applyNumberFormat="1" applyFont="1" applyFill="1" applyBorder="1" applyAlignment="1" applyProtection="1">
      <alignment/>
      <protection/>
    </xf>
    <xf numFmtId="168" fontId="6" fillId="0" borderId="34" xfId="0" applyNumberFormat="1" applyFont="1" applyFill="1" applyBorder="1" applyAlignment="1" applyProtection="1">
      <alignment/>
      <protection/>
    </xf>
    <xf numFmtId="1" fontId="6" fillId="0" borderId="34" xfId="0" applyNumberFormat="1" applyFont="1" applyFill="1" applyBorder="1" applyAlignment="1" applyProtection="1">
      <alignment/>
      <protection/>
    </xf>
    <xf numFmtId="1" fontId="6" fillId="0" borderId="41" xfId="0" applyNumberFormat="1" applyFont="1" applyFill="1" applyBorder="1" applyAlignment="1" applyProtection="1">
      <alignment/>
      <protection/>
    </xf>
    <xf numFmtId="168" fontId="9" fillId="0" borderId="34" xfId="0" applyNumberFormat="1" applyFont="1" applyFill="1" applyBorder="1" applyAlignment="1" applyProtection="1">
      <alignment/>
      <protection/>
    </xf>
    <xf numFmtId="168" fontId="6" fillId="0" borderId="34" xfId="0" applyNumberFormat="1" applyFont="1" applyFill="1" applyBorder="1" applyAlignment="1" applyProtection="1">
      <alignment/>
      <protection/>
    </xf>
    <xf numFmtId="164" fontId="41" fillId="0" borderId="26" xfId="0" applyFont="1" applyBorder="1" applyAlignment="1">
      <alignment/>
    </xf>
    <xf numFmtId="164" fontId="22" fillId="0" borderId="34" xfId="0" applyFont="1" applyBorder="1" applyAlignment="1">
      <alignment/>
    </xf>
    <xf numFmtId="164" fontId="20" fillId="0" borderId="34" xfId="0" applyFont="1" applyBorder="1" applyAlignment="1" applyProtection="1">
      <alignment/>
      <protection locked="0"/>
    </xf>
    <xf numFmtId="45" fontId="20" fillId="0" borderId="13" xfId="0" applyNumberFormat="1" applyFont="1" applyBorder="1" applyAlignment="1" applyProtection="1">
      <alignment/>
      <protection locked="0"/>
    </xf>
    <xf numFmtId="45" fontId="20" fillId="0" borderId="34" xfId="0" applyNumberFormat="1" applyFont="1" applyBorder="1" applyAlignment="1" applyProtection="1">
      <alignment/>
      <protection locked="0"/>
    </xf>
    <xf numFmtId="164" fontId="19" fillId="0" borderId="14" xfId="0" applyFont="1" applyBorder="1" applyAlignment="1" applyProtection="1">
      <alignment/>
      <protection locked="0"/>
    </xf>
    <xf numFmtId="164" fontId="19" fillId="0" borderId="0" xfId="0" applyFont="1" applyBorder="1" applyAlignment="1" applyProtection="1">
      <alignment/>
      <protection locked="0"/>
    </xf>
    <xf numFmtId="164" fontId="19" fillId="0" borderId="13" xfId="0" applyFont="1" applyBorder="1" applyAlignment="1" applyProtection="1">
      <alignment/>
      <protection locked="0"/>
    </xf>
    <xf numFmtId="164" fontId="19" fillId="0" borderId="34" xfId="0" applyFont="1" applyBorder="1" applyAlignment="1" applyProtection="1">
      <alignment/>
      <protection locked="0"/>
    </xf>
    <xf numFmtId="164" fontId="22" fillId="0" borderId="36" xfId="0" applyFont="1" applyBorder="1" applyAlignment="1">
      <alignment/>
    </xf>
    <xf numFmtId="164" fontId="22" fillId="0" borderId="37" xfId="0" applyFont="1" applyBorder="1" applyAlignment="1">
      <alignment/>
    </xf>
    <xf numFmtId="164" fontId="20" fillId="0" borderId="36" xfId="0" applyFont="1" applyBorder="1" applyAlignment="1" applyProtection="1">
      <alignment/>
      <protection/>
    </xf>
    <xf numFmtId="164" fontId="20" fillId="0" borderId="36" xfId="0" applyFont="1" applyBorder="1" applyAlignment="1" applyProtection="1">
      <alignment/>
      <protection locked="0"/>
    </xf>
    <xf numFmtId="45" fontId="20" fillId="0" borderId="40" xfId="0" applyNumberFormat="1" applyFont="1" applyBorder="1" applyAlignment="1" applyProtection="1">
      <alignment/>
      <protection locked="0"/>
    </xf>
    <xf numFmtId="45" fontId="20" fillId="0" borderId="36" xfId="0" applyNumberFormat="1" applyFont="1" applyBorder="1" applyAlignment="1" applyProtection="1">
      <alignment/>
      <protection locked="0"/>
    </xf>
    <xf numFmtId="164" fontId="20" fillId="0" borderId="47" xfId="0" applyFont="1" applyBorder="1" applyAlignment="1" applyProtection="1">
      <alignment/>
      <protection locked="0"/>
    </xf>
    <xf numFmtId="164" fontId="20" fillId="0" borderId="37" xfId="0" applyFont="1" applyBorder="1" applyAlignment="1" applyProtection="1">
      <alignment/>
      <protection locked="0"/>
    </xf>
    <xf numFmtId="164" fontId="20" fillId="0" borderId="40" xfId="0" applyFont="1" applyBorder="1" applyAlignment="1" applyProtection="1">
      <alignment/>
      <protection locked="0"/>
    </xf>
    <xf numFmtId="164" fontId="22" fillId="0" borderId="0" xfId="0" applyFont="1" applyBorder="1" applyAlignment="1">
      <alignment/>
    </xf>
    <xf numFmtId="164" fontId="6" fillId="0" borderId="13" xfId="0" applyFont="1" applyBorder="1" applyAlignment="1">
      <alignment/>
    </xf>
    <xf numFmtId="164" fontId="6" fillId="0" borderId="13" xfId="0" applyFont="1" applyBorder="1" applyAlignment="1" quotePrefix="1">
      <alignment/>
    </xf>
    <xf numFmtId="164" fontId="6" fillId="24" borderId="13" xfId="0" applyFont="1" applyFill="1" applyBorder="1" applyAlignment="1" applyProtection="1">
      <alignment horizontal="left"/>
      <protection/>
    </xf>
    <xf numFmtId="164" fontId="6" fillId="24" borderId="68" xfId="0" applyFont="1" applyFill="1" applyBorder="1" applyAlignment="1" applyProtection="1">
      <alignment horizontal="left"/>
      <protection/>
    </xf>
    <xf numFmtId="166" fontId="6" fillId="0" borderId="58" xfId="0" applyNumberFormat="1" applyFont="1" applyBorder="1" applyAlignment="1" applyProtection="1">
      <alignment/>
      <protection/>
    </xf>
    <xf numFmtId="166" fontId="6" fillId="0" borderId="13" xfId="0" applyNumberFormat="1" applyFont="1" applyBorder="1" applyAlignment="1" applyProtection="1">
      <alignment/>
      <protection/>
    </xf>
    <xf numFmtId="166" fontId="6" fillId="0" borderId="69" xfId="0" applyNumberFormat="1" applyFont="1" applyFill="1" applyBorder="1" applyAlignment="1" applyProtection="1">
      <alignment/>
      <protection/>
    </xf>
    <xf numFmtId="164" fontId="0" fillId="0" borderId="11" xfId="0" applyFont="1" applyBorder="1" applyAlignment="1" applyProtection="1">
      <alignment/>
      <protection/>
    </xf>
    <xf numFmtId="164" fontId="0" fillId="0" borderId="25" xfId="0" applyFont="1" applyBorder="1" applyAlignment="1">
      <alignment/>
    </xf>
    <xf numFmtId="164" fontId="6" fillId="0" borderId="33" xfId="0" applyFont="1" applyBorder="1" applyAlignment="1" applyProtection="1">
      <alignment/>
      <protection/>
    </xf>
    <xf numFmtId="164" fontId="6" fillId="0" borderId="16" xfId="0" applyFont="1" applyFill="1" applyBorder="1" applyAlignment="1" applyProtection="1">
      <alignment/>
      <protection locked="0"/>
    </xf>
    <xf numFmtId="2" fontId="6" fillId="0" borderId="38" xfId="0" applyNumberFormat="1" applyFont="1" applyBorder="1" applyAlignment="1" applyProtection="1">
      <alignment/>
      <protection/>
    </xf>
    <xf numFmtId="164" fontId="39" fillId="0" borderId="47" xfId="0" applyFont="1" applyBorder="1" applyAlignment="1" applyProtection="1">
      <alignment/>
      <protection locked="0"/>
    </xf>
    <xf numFmtId="164" fontId="39" fillId="0" borderId="40" xfId="0" applyFont="1" applyBorder="1" applyAlignment="1" applyProtection="1">
      <alignment/>
      <protection locked="0"/>
    </xf>
    <xf numFmtId="164" fontId="39" fillId="0" borderId="14" xfId="0" applyFont="1" applyBorder="1" applyAlignment="1" applyProtection="1">
      <alignment/>
      <protection locked="0"/>
    </xf>
    <xf numFmtId="164" fontId="39" fillId="0" borderId="0" xfId="0" applyFont="1" applyBorder="1" applyAlignment="1" applyProtection="1">
      <alignment/>
      <protection locked="0"/>
    </xf>
    <xf numFmtId="164" fontId="39" fillId="0" borderId="37" xfId="0" applyFont="1" applyBorder="1" applyAlignment="1" applyProtection="1">
      <alignment/>
      <protection locked="0"/>
    </xf>
    <xf numFmtId="164" fontId="0" fillId="0" borderId="14" xfId="0" applyFont="1" applyBorder="1" applyAlignment="1">
      <alignment/>
    </xf>
    <xf numFmtId="164" fontId="9" fillId="0" borderId="0" xfId="0" applyFont="1" applyBorder="1" applyAlignment="1" applyProtection="1">
      <alignment horizontal="right"/>
      <protection locked="0"/>
    </xf>
    <xf numFmtId="1" fontId="6" fillId="0" borderId="25" xfId="0" applyNumberFormat="1" applyFont="1" applyBorder="1" applyAlignment="1">
      <alignment/>
    </xf>
    <xf numFmtId="1" fontId="6" fillId="0" borderId="26" xfId="0" applyNumberFormat="1" applyFont="1" applyBorder="1" applyAlignment="1">
      <alignment/>
    </xf>
    <xf numFmtId="164" fontId="42" fillId="0" borderId="0" xfId="0" applyFont="1" applyAlignment="1">
      <alignment/>
    </xf>
    <xf numFmtId="164" fontId="42" fillId="0" borderId="0" xfId="0" applyFont="1" applyAlignment="1" applyProtection="1">
      <alignment horizontal="left"/>
      <protection/>
    </xf>
    <xf numFmtId="164" fontId="42" fillId="0" borderId="0" xfId="0" applyFont="1" applyAlignment="1" applyProtection="1">
      <alignment horizontal="right"/>
      <protection/>
    </xf>
    <xf numFmtId="164" fontId="42" fillId="0" borderId="0" xfId="0" applyFont="1" applyAlignment="1" applyProtection="1">
      <alignment/>
      <protection/>
    </xf>
    <xf numFmtId="170" fontId="42" fillId="0" borderId="0" xfId="0" applyNumberFormat="1" applyFont="1" applyAlignment="1" applyProtection="1">
      <alignment/>
      <protection/>
    </xf>
    <xf numFmtId="170" fontId="0" fillId="0" borderId="0" xfId="0" applyNumberFormat="1" applyAlignment="1" applyProtection="1">
      <alignment/>
      <protection/>
    </xf>
    <xf numFmtId="164" fontId="0" fillId="7" borderId="23" xfId="0" applyFont="1" applyFill="1" applyBorder="1" applyAlignment="1" applyProtection="1">
      <alignment/>
      <protection/>
    </xf>
    <xf numFmtId="164" fontId="0" fillId="0" borderId="16" xfId="0" applyFont="1" applyBorder="1" applyAlignment="1">
      <alignment/>
    </xf>
    <xf numFmtId="1" fontId="0" fillId="7" borderId="0" xfId="0" applyNumberFormat="1" applyFont="1" applyFill="1" applyBorder="1" applyAlignment="1">
      <alignment horizontal="center" vertical="center"/>
    </xf>
    <xf numFmtId="45" fontId="0" fillId="7" borderId="0" xfId="0" applyNumberFormat="1" applyFont="1" applyFill="1" applyBorder="1" applyAlignment="1">
      <alignment horizontal="center" vertical="center"/>
    </xf>
    <xf numFmtId="1" fontId="6" fillId="0" borderId="34" xfId="0" applyNumberFormat="1" applyFont="1" applyBorder="1" applyAlignment="1" applyProtection="1">
      <alignment/>
      <protection/>
    </xf>
    <xf numFmtId="164" fontId="8" fillId="0" borderId="47" xfId="0" applyFont="1" applyBorder="1" applyAlignment="1" applyProtection="1">
      <alignment/>
      <protection locked="0"/>
    </xf>
    <xf numFmtId="164" fontId="8" fillId="0" borderId="40" xfId="0" applyFont="1" applyBorder="1" applyAlignment="1" applyProtection="1">
      <alignment/>
      <protection locked="0"/>
    </xf>
    <xf numFmtId="164" fontId="23" fillId="0" borderId="26" xfId="0" applyFont="1" applyBorder="1" applyAlignment="1" applyProtection="1">
      <alignment/>
      <protection/>
    </xf>
    <xf numFmtId="164" fontId="9" fillId="0" borderId="26" xfId="0" applyFont="1" applyBorder="1" applyAlignment="1" applyProtection="1">
      <alignment/>
      <protection/>
    </xf>
    <xf numFmtId="164" fontId="9" fillId="0" borderId="0" xfId="0" applyFont="1" applyAlignment="1" applyProtection="1">
      <alignment horizontal="right"/>
      <protection/>
    </xf>
    <xf numFmtId="175" fontId="6" fillId="0" borderId="12" xfId="0" applyNumberFormat="1" applyFont="1" applyBorder="1" applyAlignment="1" applyProtection="1">
      <alignment/>
      <protection/>
    </xf>
    <xf numFmtId="175" fontId="6" fillId="0" borderId="26" xfId="0" applyNumberFormat="1" applyFont="1" applyBorder="1" applyAlignment="1" applyProtection="1">
      <alignment/>
      <protection/>
    </xf>
    <xf numFmtId="164" fontId="41" fillId="7" borderId="24" xfId="0" applyFont="1" applyFill="1" applyBorder="1" applyAlignment="1">
      <alignment/>
    </xf>
    <xf numFmtId="164" fontId="23" fillId="7" borderId="12" xfId="0" applyFont="1" applyFill="1" applyBorder="1" applyAlignment="1" applyProtection="1">
      <alignment/>
      <protection/>
    </xf>
    <xf numFmtId="164" fontId="23" fillId="0" borderId="48" xfId="0" applyFont="1" applyBorder="1" applyAlignment="1" applyProtection="1">
      <alignment/>
      <protection/>
    </xf>
    <xf numFmtId="164" fontId="20" fillId="0" borderId="25" xfId="0" applyFont="1" applyBorder="1" applyAlignment="1" applyProtection="1" quotePrefix="1">
      <alignment horizontal="left"/>
      <protection/>
    </xf>
    <xf numFmtId="164" fontId="19" fillId="0" borderId="26" xfId="0" applyFont="1" applyBorder="1" applyAlignment="1" applyProtection="1">
      <alignment/>
      <protection/>
    </xf>
    <xf numFmtId="164" fontId="20" fillId="0" borderId="26" xfId="0" applyFont="1" applyBorder="1" applyAlignment="1" applyProtection="1" quotePrefix="1">
      <alignment horizontal="left"/>
      <protection/>
    </xf>
    <xf numFmtId="164" fontId="9" fillId="0" borderId="11" xfId="0" applyFont="1" applyBorder="1" applyAlignment="1" applyProtection="1">
      <alignment horizontal="center"/>
      <protection/>
    </xf>
    <xf numFmtId="164" fontId="9" fillId="0" borderId="13" xfId="0" applyFont="1" applyBorder="1" applyAlignment="1" applyProtection="1">
      <alignment horizontal="center"/>
      <protection/>
    </xf>
    <xf numFmtId="164" fontId="10" fillId="0" borderId="34" xfId="0" applyFont="1" applyBorder="1" applyAlignment="1" applyProtection="1">
      <alignment/>
      <protection/>
    </xf>
    <xf numFmtId="164" fontId="0" fillId="0" borderId="34" xfId="0" applyFont="1" applyBorder="1" applyAlignment="1" applyProtection="1">
      <alignment/>
      <protection/>
    </xf>
    <xf numFmtId="164" fontId="0" fillId="0" borderId="41" xfId="0" applyBorder="1" applyAlignment="1" applyProtection="1">
      <alignment/>
      <protection/>
    </xf>
    <xf numFmtId="164" fontId="22" fillId="0" borderId="24" xfId="0" applyFont="1" applyBorder="1" applyAlignment="1">
      <alignment/>
    </xf>
    <xf numFmtId="164" fontId="25" fillId="4" borderId="50" xfId="0" applyFont="1" applyFill="1" applyBorder="1" applyAlignment="1" applyProtection="1">
      <alignment/>
      <protection/>
    </xf>
    <xf numFmtId="164" fontId="0" fillId="0" borderId="70" xfId="0" applyBorder="1" applyAlignment="1">
      <alignment/>
    </xf>
    <xf numFmtId="164" fontId="17" fillId="0" borderId="32" xfId="0" applyFont="1" applyBorder="1" applyAlignment="1" applyProtection="1">
      <alignment horizontal="left"/>
      <protection/>
    </xf>
    <xf numFmtId="164" fontId="45" fillId="0" borderId="17" xfId="0" applyFont="1" applyBorder="1" applyAlignment="1" applyProtection="1">
      <alignment horizontal="center"/>
      <protection/>
    </xf>
    <xf numFmtId="164" fontId="46" fillId="4" borderId="30" xfId="0" applyFont="1" applyFill="1" applyBorder="1" applyAlignment="1" applyProtection="1">
      <alignment/>
      <protection locked="0"/>
    </xf>
    <xf numFmtId="164" fontId="46" fillId="4" borderId="26" xfId="0" applyFont="1" applyFill="1" applyBorder="1" applyAlignment="1" applyProtection="1">
      <alignment/>
      <protection locked="0"/>
    </xf>
    <xf numFmtId="164" fontId="6" fillId="0" borderId="24" xfId="0" applyFont="1" applyBorder="1" applyAlignment="1" applyProtection="1">
      <alignment horizontal="right"/>
      <protection/>
    </xf>
    <xf numFmtId="164" fontId="0" fillId="0" borderId="25" xfId="0" applyFont="1" applyBorder="1" applyAlignment="1" applyProtection="1">
      <alignment/>
      <protection locked="0"/>
    </xf>
    <xf numFmtId="1" fontId="0" fillId="0" borderId="0" xfId="0" applyNumberFormat="1" applyFont="1" applyFill="1" applyBorder="1" applyAlignment="1">
      <alignment horizontal="center" vertical="center"/>
    </xf>
    <xf numFmtId="45" fontId="0" fillId="0" borderId="0" xfId="0" applyNumberFormat="1" applyFont="1" applyFill="1" applyBorder="1" applyAlignment="1">
      <alignment horizontal="center" vertical="center"/>
    </xf>
    <xf numFmtId="164" fontId="0" fillId="0" borderId="48" xfId="0" applyFont="1" applyBorder="1" applyAlignment="1">
      <alignment/>
    </xf>
    <xf numFmtId="1" fontId="6" fillId="0" borderId="42" xfId="0" applyNumberFormat="1" applyFont="1" applyBorder="1" applyAlignment="1" applyProtection="1">
      <alignment/>
      <protection/>
    </xf>
    <xf numFmtId="167" fontId="14" fillId="0" borderId="23" xfId="0" applyNumberFormat="1" applyFont="1" applyBorder="1" applyAlignment="1" applyProtection="1">
      <alignment/>
      <protection/>
    </xf>
    <xf numFmtId="1" fontId="14" fillId="0" borderId="15" xfId="0" applyNumberFormat="1" applyFont="1" applyBorder="1" applyAlignment="1" applyProtection="1">
      <alignment/>
      <protection/>
    </xf>
    <xf numFmtId="1" fontId="14" fillId="0" borderId="17" xfId="0" applyNumberFormat="1" applyFont="1" applyFill="1" applyBorder="1" applyAlignment="1" applyProtection="1">
      <alignment/>
      <protection/>
    </xf>
    <xf numFmtId="167" fontId="14" fillId="0" borderId="15" xfId="0" applyNumberFormat="1" applyFont="1" applyBorder="1" applyAlignment="1" applyProtection="1">
      <alignment/>
      <protection/>
    </xf>
    <xf numFmtId="164" fontId="46" fillId="0" borderId="52" xfId="0" applyFont="1" applyFill="1" applyBorder="1" applyAlignment="1" applyProtection="1">
      <alignment/>
      <protection locked="0"/>
    </xf>
    <xf numFmtId="164" fontId="0" fillId="4" borderId="28" xfId="0" applyFont="1" applyFill="1" applyBorder="1" applyAlignment="1">
      <alignment/>
    </xf>
    <xf numFmtId="1" fontId="0" fillId="4" borderId="23" xfId="0" applyNumberFormat="1" applyFont="1" applyFill="1" applyBorder="1" applyAlignment="1" applyProtection="1">
      <alignment/>
      <protection/>
    </xf>
    <xf numFmtId="1" fontId="0" fillId="4" borderId="23" xfId="0" applyNumberFormat="1" applyFont="1" applyFill="1" applyBorder="1" applyAlignment="1" applyProtection="1">
      <alignment/>
      <protection/>
    </xf>
    <xf numFmtId="1" fontId="10" fillId="4" borderId="23" xfId="0" applyNumberFormat="1" applyFont="1" applyFill="1" applyBorder="1" applyAlignment="1" applyProtection="1">
      <alignment/>
      <protection/>
    </xf>
    <xf numFmtId="164" fontId="25" fillId="4" borderId="57" xfId="0" applyFont="1" applyFill="1" applyBorder="1" applyAlignment="1" applyProtection="1">
      <alignment/>
      <protection/>
    </xf>
    <xf numFmtId="164" fontId="9" fillId="0" borderId="0" xfId="0" applyFont="1" applyAlignment="1" applyProtection="1">
      <alignment/>
      <protection/>
    </xf>
    <xf numFmtId="45" fontId="10" fillId="20" borderId="70" xfId="0" applyNumberFormat="1" applyFont="1" applyFill="1" applyBorder="1" applyAlignment="1">
      <alignment horizontal="center" vertical="center"/>
    </xf>
    <xf numFmtId="1" fontId="10" fillId="20" borderId="62" xfId="0" applyNumberFormat="1" applyFont="1" applyFill="1" applyBorder="1" applyAlignment="1">
      <alignment horizontal="center" vertical="center"/>
    </xf>
    <xf numFmtId="164" fontId="0" fillId="0" borderId="69" xfId="0" applyBorder="1" applyAlignment="1" applyProtection="1">
      <alignment/>
      <protection/>
    </xf>
    <xf numFmtId="1" fontId="10" fillId="4" borderId="38" xfId="0" applyNumberFormat="1" applyFont="1" applyFill="1" applyBorder="1" applyAlignment="1" applyProtection="1">
      <alignment/>
      <protection/>
    </xf>
    <xf numFmtId="1" fontId="10" fillId="4" borderId="38" xfId="0" applyNumberFormat="1" applyFont="1" applyFill="1" applyBorder="1" applyAlignment="1" applyProtection="1">
      <alignment/>
      <protection/>
    </xf>
    <xf numFmtId="45" fontId="0" fillId="20" borderId="70" xfId="0" applyNumberFormat="1" applyFont="1" applyFill="1" applyBorder="1" applyAlignment="1">
      <alignment horizontal="center" vertical="center"/>
    </xf>
    <xf numFmtId="167" fontId="6" fillId="0" borderId="42" xfId="0" applyNumberFormat="1" applyFont="1" applyBorder="1" applyAlignment="1" applyProtection="1">
      <alignment horizontal="right"/>
      <protection/>
    </xf>
    <xf numFmtId="167" fontId="6" fillId="0" borderId="34" xfId="0" applyNumberFormat="1" applyFont="1" applyBorder="1" applyAlignment="1" applyProtection="1">
      <alignment/>
      <protection/>
    </xf>
    <xf numFmtId="167" fontId="6" fillId="0" borderId="34" xfId="0" applyNumberFormat="1" applyFont="1" applyBorder="1" applyAlignment="1">
      <alignment/>
    </xf>
    <xf numFmtId="167" fontId="6" fillId="0" borderId="35" xfId="0" applyNumberFormat="1" applyFont="1" applyBorder="1" applyAlignment="1" applyProtection="1">
      <alignment/>
      <protection/>
    </xf>
    <xf numFmtId="167" fontId="6" fillId="0" borderId="11" xfId="0" applyNumberFormat="1" applyFont="1" applyBorder="1" applyAlignment="1" applyProtection="1">
      <alignment/>
      <protection/>
    </xf>
    <xf numFmtId="167" fontId="6" fillId="0" borderId="12" xfId="0" applyNumberFormat="1" applyFont="1" applyBorder="1" applyAlignment="1" applyProtection="1">
      <alignment/>
      <protection/>
    </xf>
    <xf numFmtId="167" fontId="6" fillId="0" borderId="71" xfId="0" applyNumberFormat="1" applyFont="1" applyBorder="1" applyAlignment="1" applyProtection="1">
      <alignment/>
      <protection/>
    </xf>
    <xf numFmtId="167" fontId="6" fillId="0" borderId="48" xfId="0" applyNumberFormat="1" applyFont="1" applyBorder="1" applyAlignment="1" applyProtection="1">
      <alignment/>
      <protection/>
    </xf>
    <xf numFmtId="167" fontId="6" fillId="0" borderId="13" xfId="0" applyNumberFormat="1" applyFont="1" applyBorder="1" applyAlignment="1" applyProtection="1">
      <alignment/>
      <protection/>
    </xf>
    <xf numFmtId="167" fontId="6" fillId="0" borderId="13" xfId="0" applyNumberFormat="1" applyFont="1" applyBorder="1" applyAlignment="1">
      <alignment/>
    </xf>
    <xf numFmtId="167" fontId="6" fillId="0" borderId="0" xfId="0" applyNumberFormat="1" applyFont="1" applyBorder="1" applyAlignment="1">
      <alignment/>
    </xf>
    <xf numFmtId="167" fontId="6" fillId="0" borderId="25" xfId="0" applyNumberFormat="1" applyFont="1" applyBorder="1" applyAlignment="1" applyProtection="1">
      <alignment/>
      <protection/>
    </xf>
    <xf numFmtId="167" fontId="6" fillId="0" borderId="26" xfId="0" applyNumberFormat="1" applyFont="1" applyBorder="1" applyAlignment="1" applyProtection="1">
      <alignment/>
      <protection/>
    </xf>
    <xf numFmtId="167" fontId="6" fillId="0" borderId="39" xfId="0" applyNumberFormat="1" applyFont="1" applyBorder="1" applyAlignment="1" applyProtection="1">
      <alignment/>
      <protection/>
    </xf>
    <xf numFmtId="167" fontId="9" fillId="0" borderId="12" xfId="0" applyNumberFormat="1" applyFont="1" applyBorder="1" applyAlignment="1" applyProtection="1">
      <alignment horizontal="right"/>
      <protection/>
    </xf>
    <xf numFmtId="167" fontId="9" fillId="0" borderId="71" xfId="0" applyNumberFormat="1" applyFont="1" applyBorder="1" applyAlignment="1" applyProtection="1">
      <alignment horizontal="right"/>
      <protection/>
    </xf>
    <xf numFmtId="167" fontId="9" fillId="0" borderId="48" xfId="0" applyNumberFormat="1" applyFont="1" applyBorder="1" applyAlignment="1" applyProtection="1">
      <alignment horizontal="right"/>
      <protection/>
    </xf>
    <xf numFmtId="164" fontId="44" fillId="0" borderId="32" xfId="0" applyFont="1" applyBorder="1" applyAlignment="1" applyProtection="1">
      <alignment horizontal="left"/>
      <protection/>
    </xf>
    <xf numFmtId="164" fontId="6" fillId="0" borderId="43" xfId="0" applyFont="1" applyBorder="1" applyAlignment="1" applyProtection="1">
      <alignment horizontal="left"/>
      <protection/>
    </xf>
    <xf numFmtId="164" fontId="35" fillId="0" borderId="69" xfId="0" applyFont="1" applyFill="1" applyBorder="1" applyAlignment="1" applyProtection="1">
      <alignment horizontal="left"/>
      <protection/>
    </xf>
    <xf numFmtId="164" fontId="38" fillId="0" borderId="23" xfId="0" applyFont="1" applyFill="1" applyBorder="1" applyAlignment="1" applyProtection="1">
      <alignment/>
      <protection locked="0"/>
    </xf>
    <xf numFmtId="164" fontId="10" fillId="0" borderId="0" xfId="0" applyFont="1" applyAlignment="1" applyProtection="1">
      <alignment/>
      <protection/>
    </xf>
    <xf numFmtId="166" fontId="9" fillId="0" borderId="15" xfId="0" applyNumberFormat="1" applyFont="1" applyBorder="1" applyAlignment="1" applyProtection="1">
      <alignment/>
      <protection/>
    </xf>
    <xf numFmtId="1" fontId="9" fillId="0" borderId="34" xfId="0" applyNumberFormat="1" applyFont="1" applyFill="1" applyBorder="1" applyAlignment="1" applyProtection="1">
      <alignment/>
      <protection/>
    </xf>
    <xf numFmtId="164" fontId="21" fillId="0" borderId="34" xfId="0" applyFont="1" applyBorder="1" applyAlignment="1">
      <alignment/>
    </xf>
    <xf numFmtId="164" fontId="21" fillId="0" borderId="0" xfId="0" applyFont="1" applyAlignment="1">
      <alignment/>
    </xf>
    <xf numFmtId="164" fontId="38" fillId="0" borderId="14" xfId="0" applyFont="1" applyBorder="1" applyAlignment="1" applyProtection="1">
      <alignment/>
      <protection locked="0"/>
    </xf>
    <xf numFmtId="164" fontId="38" fillId="0" borderId="0" xfId="0" applyFont="1" applyBorder="1" applyAlignment="1" applyProtection="1">
      <alignment/>
      <protection locked="0"/>
    </xf>
    <xf numFmtId="164" fontId="20" fillId="0" borderId="14" xfId="0" applyFont="1" applyBorder="1" applyAlignment="1" applyProtection="1">
      <alignment/>
      <protection locked="0"/>
    </xf>
    <xf numFmtId="164" fontId="20" fillId="0" borderId="0" xfId="0" applyFont="1" applyBorder="1" applyAlignment="1" applyProtection="1">
      <alignment/>
      <protection locked="0"/>
    </xf>
    <xf numFmtId="164" fontId="20" fillId="0" borderId="13" xfId="0" applyFont="1" applyBorder="1" applyAlignment="1" applyProtection="1">
      <alignment/>
      <protection locked="0"/>
    </xf>
    <xf numFmtId="164" fontId="20" fillId="0" borderId="34" xfId="0" applyFont="1" applyBorder="1" applyAlignment="1" applyProtection="1">
      <alignment/>
      <protection locked="0"/>
    </xf>
    <xf numFmtId="167" fontId="9" fillId="0" borderId="36" xfId="0" applyNumberFormat="1" applyFont="1" applyBorder="1" applyAlignment="1" applyProtection="1">
      <alignment horizontal="right"/>
      <protection/>
    </xf>
    <xf numFmtId="164" fontId="6" fillId="0" borderId="0" xfId="0" applyFont="1" applyAlignment="1" applyProtection="1">
      <alignment horizontal="right"/>
      <protection/>
    </xf>
    <xf numFmtId="164" fontId="6" fillId="0" borderId="0" xfId="0" applyFont="1" applyBorder="1" applyAlignment="1" applyProtection="1">
      <alignment horizontal="center"/>
      <protection/>
    </xf>
    <xf numFmtId="165" fontId="6" fillId="0" borderId="0" xfId="0" applyNumberFormat="1" applyFont="1" applyBorder="1" applyAlignment="1" applyProtection="1">
      <alignment/>
      <protection locked="0"/>
    </xf>
    <xf numFmtId="164" fontId="6" fillId="0" borderId="51" xfId="0" applyFont="1" applyBorder="1" applyAlignment="1">
      <alignment/>
    </xf>
    <xf numFmtId="164" fontId="6" fillId="0" borderId="26" xfId="0" applyFont="1" applyBorder="1" applyAlignment="1">
      <alignment/>
    </xf>
    <xf numFmtId="0" fontId="6" fillId="0" borderId="0" xfId="58" applyProtection="1">
      <alignment/>
      <protection/>
    </xf>
    <xf numFmtId="0" fontId="6" fillId="0" borderId="11" xfId="58" applyBorder="1" applyProtection="1">
      <alignment/>
      <protection/>
    </xf>
    <xf numFmtId="0" fontId="6" fillId="0" borderId="12" xfId="58" applyBorder="1" applyProtection="1">
      <alignment/>
      <protection/>
    </xf>
    <xf numFmtId="0" fontId="6" fillId="0" borderId="0" xfId="58" applyBorder="1" applyProtection="1">
      <alignment/>
      <protection/>
    </xf>
    <xf numFmtId="0" fontId="6" fillId="0" borderId="13" xfId="58" applyBorder="1" applyProtection="1">
      <alignment/>
      <protection/>
    </xf>
    <xf numFmtId="0" fontId="9" fillId="0" borderId="0" xfId="58" applyFont="1" applyProtection="1">
      <alignment/>
      <protection/>
    </xf>
    <xf numFmtId="164" fontId="10" fillId="0" borderId="12" xfId="0" applyFont="1" applyBorder="1" applyAlignment="1" applyProtection="1">
      <alignment/>
      <protection/>
    </xf>
    <xf numFmtId="164" fontId="0" fillId="0" borderId="0" xfId="0" applyFont="1" applyBorder="1" applyAlignment="1" applyProtection="1">
      <alignment horizontal="right"/>
      <protection locked="0"/>
    </xf>
    <xf numFmtId="164" fontId="0" fillId="0" borderId="0" xfId="0" applyFont="1" applyBorder="1" applyAlignment="1" applyProtection="1">
      <alignment/>
      <protection/>
    </xf>
    <xf numFmtId="164" fontId="10" fillId="0" borderId="14" xfId="0" applyFont="1" applyBorder="1" applyAlignment="1">
      <alignment/>
    </xf>
    <xf numFmtId="164" fontId="9" fillId="0" borderId="14" xfId="0" applyFont="1" applyBorder="1" applyAlignment="1" applyProtection="1">
      <alignment/>
      <protection locked="0"/>
    </xf>
    <xf numFmtId="164" fontId="8" fillId="0" borderId="14" xfId="0" applyFont="1" applyBorder="1" applyAlignment="1" applyProtection="1">
      <alignment/>
      <protection locked="0"/>
    </xf>
    <xf numFmtId="164" fontId="8" fillId="0" borderId="0" xfId="0" applyFont="1" applyBorder="1" applyAlignment="1" applyProtection="1">
      <alignment/>
      <protection locked="0"/>
    </xf>
    <xf numFmtId="164" fontId="8" fillId="0" borderId="13" xfId="0" applyFont="1" applyBorder="1" applyAlignment="1" applyProtection="1">
      <alignment/>
      <protection locked="0"/>
    </xf>
    <xf numFmtId="164" fontId="8" fillId="0" borderId="34" xfId="0" applyFont="1" applyBorder="1" applyAlignment="1" applyProtection="1">
      <alignment/>
      <protection locked="0"/>
    </xf>
    <xf numFmtId="184" fontId="6" fillId="0" borderId="12" xfId="42" applyNumberFormat="1" applyFont="1" applyBorder="1" applyAlignment="1" applyProtection="1">
      <alignment/>
      <protection/>
    </xf>
    <xf numFmtId="1" fontId="0" fillId="20" borderId="62" xfId="0" applyNumberFormat="1" applyFont="1" applyFill="1" applyBorder="1" applyAlignment="1">
      <alignment horizontal="center" vertical="center"/>
    </xf>
    <xf numFmtId="49" fontId="6" fillId="0" borderId="22" xfId="0" applyNumberFormat="1" applyFont="1" applyBorder="1" applyAlignment="1" applyProtection="1">
      <alignment horizontal="left"/>
      <protection/>
    </xf>
    <xf numFmtId="49" fontId="35" fillId="0" borderId="72" xfId="0" applyNumberFormat="1" applyFont="1" applyFill="1" applyBorder="1" applyAlignment="1" applyProtection="1">
      <alignment horizontal="left"/>
      <protection/>
    </xf>
    <xf numFmtId="49" fontId="34" fillId="0" borderId="61" xfId="0" applyNumberFormat="1" applyFont="1" applyBorder="1" applyAlignment="1" applyProtection="1">
      <alignment/>
      <protection locked="0"/>
    </xf>
    <xf numFmtId="49" fontId="33" fillId="0" borderId="73" xfId="0" applyNumberFormat="1" applyFont="1" applyBorder="1" applyAlignment="1" applyProtection="1">
      <alignment/>
      <protection locked="0"/>
    </xf>
    <xf numFmtId="49" fontId="33" fillId="0" borderId="28" xfId="0" applyNumberFormat="1" applyFont="1" applyBorder="1" applyAlignment="1" applyProtection="1">
      <alignment/>
      <protection locked="0"/>
    </xf>
    <xf numFmtId="49" fontId="35" fillId="0" borderId="17" xfId="0" applyNumberFormat="1" applyFont="1" applyFill="1" applyBorder="1" applyAlignment="1" applyProtection="1">
      <alignment horizontal="left"/>
      <protection/>
    </xf>
    <xf numFmtId="49" fontId="35" fillId="0" borderId="32" xfId="0" applyNumberFormat="1" applyFont="1" applyFill="1" applyBorder="1" applyAlignment="1" applyProtection="1">
      <alignment horizontal="left"/>
      <protection/>
    </xf>
    <xf numFmtId="49" fontId="35" fillId="0" borderId="72" xfId="0" applyNumberFormat="1" applyFont="1" applyFill="1" applyBorder="1" applyAlignment="1" applyProtection="1" quotePrefix="1">
      <alignment horizontal="left"/>
      <protection/>
    </xf>
    <xf numFmtId="49" fontId="35" fillId="0" borderId="38" xfId="0" applyNumberFormat="1" applyFont="1" applyFill="1" applyBorder="1" applyAlignment="1" applyProtection="1">
      <alignment horizontal="left"/>
      <protection/>
    </xf>
    <xf numFmtId="164" fontId="0" fillId="0" borderId="74" xfId="0" applyBorder="1" applyAlignment="1">
      <alignment/>
    </xf>
    <xf numFmtId="167" fontId="15" fillId="0" borderId="15" xfId="0" applyNumberFormat="1" applyFont="1" applyBorder="1" applyAlignment="1" applyProtection="1">
      <alignment/>
      <protection/>
    </xf>
    <xf numFmtId="1" fontId="0" fillId="0" borderId="0" xfId="0" applyNumberFormat="1" applyFont="1" applyBorder="1" applyAlignment="1">
      <alignment/>
    </xf>
    <xf numFmtId="1" fontId="10" fillId="0" borderId="0" xfId="0" applyNumberFormat="1" applyFont="1" applyBorder="1" applyAlignment="1">
      <alignment/>
    </xf>
    <xf numFmtId="168" fontId="18" fillId="22" borderId="0" xfId="0" applyNumberFormat="1" applyFont="1" applyFill="1" applyAlignment="1" applyProtection="1">
      <alignment/>
      <protection locked="0"/>
    </xf>
    <xf numFmtId="45" fontId="0" fillId="20" borderId="73" xfId="0" applyNumberFormat="1" applyFont="1" applyFill="1" applyBorder="1" applyAlignment="1">
      <alignment horizontal="center" vertical="center"/>
    </xf>
    <xf numFmtId="1" fontId="6" fillId="0" borderId="38" xfId="0" applyNumberFormat="1" applyFont="1" applyBorder="1" applyAlignment="1" applyProtection="1">
      <alignment/>
      <protection/>
    </xf>
    <xf numFmtId="172" fontId="6" fillId="0" borderId="0" xfId="0" applyNumberFormat="1" applyFont="1" applyBorder="1" applyAlignment="1" applyProtection="1">
      <alignment/>
      <protection/>
    </xf>
    <xf numFmtId="164" fontId="9" fillId="0" borderId="0" xfId="0" applyFont="1" applyBorder="1" applyAlignment="1" applyProtection="1">
      <alignment/>
      <protection/>
    </xf>
    <xf numFmtId="164" fontId="9" fillId="0" borderId="24" xfId="0" applyFont="1" applyBorder="1" applyAlignment="1" applyProtection="1">
      <alignment/>
      <protection/>
    </xf>
    <xf numFmtId="164" fontId="9" fillId="0" borderId="73" xfId="0" applyFont="1" applyBorder="1" applyAlignment="1" applyProtection="1">
      <alignment/>
      <protection/>
    </xf>
    <xf numFmtId="164" fontId="9" fillId="0" borderId="30" xfId="0" applyFont="1" applyBorder="1" applyAlignment="1" applyProtection="1">
      <alignment/>
      <protection/>
    </xf>
    <xf numFmtId="164" fontId="9" fillId="0" borderId="25" xfId="0" applyFont="1" applyBorder="1" applyAlignment="1" applyProtection="1">
      <alignment horizontal="center"/>
      <protection/>
    </xf>
    <xf numFmtId="164" fontId="58" fillId="0" borderId="34" xfId="0" applyFont="1" applyBorder="1" applyAlignment="1">
      <alignment/>
    </xf>
    <xf numFmtId="164" fontId="15" fillId="0" borderId="34" xfId="0" applyFont="1" applyFill="1" applyBorder="1" applyAlignment="1" applyProtection="1">
      <alignment/>
      <protection locked="0"/>
    </xf>
    <xf numFmtId="164" fontId="15" fillId="0" borderId="14" xfId="0" applyFont="1" applyBorder="1" applyAlignment="1" applyProtection="1">
      <alignment/>
      <protection locked="0"/>
    </xf>
    <xf numFmtId="164" fontId="15" fillId="0" borderId="0" xfId="0" applyFont="1" applyBorder="1" applyAlignment="1" applyProtection="1">
      <alignment/>
      <protection locked="0"/>
    </xf>
    <xf numFmtId="164" fontId="15" fillId="0" borderId="34" xfId="0" applyFont="1" applyBorder="1" applyAlignment="1" applyProtection="1">
      <alignment/>
      <protection locked="0"/>
    </xf>
    <xf numFmtId="45" fontId="15" fillId="0" borderId="13" xfId="0" applyNumberFormat="1" applyFont="1" applyBorder="1" applyAlignment="1" applyProtection="1">
      <alignment/>
      <protection locked="0"/>
    </xf>
    <xf numFmtId="45" fontId="15" fillId="0" borderId="34" xfId="0" applyNumberFormat="1" applyFont="1" applyBorder="1" applyAlignment="1" applyProtection="1">
      <alignment/>
      <protection locked="0"/>
    </xf>
    <xf numFmtId="164" fontId="57" fillId="0" borderId="14" xfId="0" applyFont="1" applyFill="1" applyBorder="1" applyAlignment="1" applyProtection="1">
      <alignment/>
      <protection locked="0"/>
    </xf>
    <xf numFmtId="164" fontId="57" fillId="0" borderId="0" xfId="0" applyFont="1" applyFill="1" applyBorder="1" applyAlignment="1" applyProtection="1">
      <alignment/>
      <protection locked="0"/>
    </xf>
    <xf numFmtId="164" fontId="57" fillId="0" borderId="13" xfId="0" applyFont="1" applyFill="1" applyBorder="1" applyAlignment="1" applyProtection="1">
      <alignment/>
      <protection locked="0"/>
    </xf>
    <xf numFmtId="164" fontId="57" fillId="0" borderId="34" xfId="0" applyFont="1" applyFill="1" applyBorder="1" applyAlignment="1" applyProtection="1">
      <alignment/>
      <protection locked="0"/>
    </xf>
    <xf numFmtId="164" fontId="57" fillId="0" borderId="0" xfId="0" applyFont="1" applyBorder="1" applyAlignment="1" applyProtection="1">
      <alignment/>
      <protection locked="0"/>
    </xf>
    <xf numFmtId="164" fontId="57" fillId="0" borderId="34" xfId="0" applyFont="1" applyBorder="1" applyAlignment="1" applyProtection="1">
      <alignment/>
      <protection locked="0"/>
    </xf>
    <xf numFmtId="164" fontId="58" fillId="0" borderId="0" xfId="0" applyFont="1" applyBorder="1" applyAlignment="1">
      <alignment/>
    </xf>
    <xf numFmtId="164" fontId="19" fillId="0" borderId="21" xfId="0" applyFont="1" applyBorder="1" applyAlignment="1" applyProtection="1">
      <alignment horizontal="left"/>
      <protection/>
    </xf>
    <xf numFmtId="1" fontId="9" fillId="0" borderId="0" xfId="0" applyNumberFormat="1" applyFont="1" applyBorder="1" applyAlignment="1" applyProtection="1">
      <alignment/>
      <protection/>
    </xf>
    <xf numFmtId="164" fontId="9" fillId="0" borderId="37" xfId="0" applyFont="1" applyBorder="1" applyAlignment="1" applyProtection="1">
      <alignment horizontal="left"/>
      <protection/>
    </xf>
    <xf numFmtId="164" fontId="9" fillId="0" borderId="37" xfId="0" applyFont="1" applyBorder="1" applyAlignment="1" applyProtection="1">
      <alignment/>
      <protection/>
    </xf>
    <xf numFmtId="164" fontId="9" fillId="0" borderId="23" xfId="0" applyFont="1" applyBorder="1" applyAlignment="1" applyProtection="1">
      <alignment horizontal="left"/>
      <protection/>
    </xf>
    <xf numFmtId="164" fontId="9" fillId="0" borderId="24" xfId="0" applyFont="1" applyBorder="1" applyAlignment="1" applyProtection="1">
      <alignment horizontal="left"/>
      <protection/>
    </xf>
    <xf numFmtId="164" fontId="9" fillId="0" borderId="20" xfId="0" applyFont="1" applyBorder="1" applyAlignment="1" applyProtection="1">
      <alignment horizontal="left"/>
      <protection/>
    </xf>
    <xf numFmtId="164" fontId="9" fillId="0" borderId="75" xfId="0" applyFont="1" applyBorder="1" applyAlignment="1" applyProtection="1">
      <alignment horizontal="left"/>
      <protection/>
    </xf>
    <xf numFmtId="164" fontId="9" fillId="0" borderId="60" xfId="0" applyFont="1" applyBorder="1" applyAlignment="1" applyProtection="1">
      <alignment/>
      <protection/>
    </xf>
    <xf numFmtId="164" fontId="31" fillId="0" borderId="38" xfId="0" applyFont="1" applyFill="1" applyBorder="1" applyAlignment="1">
      <alignment horizontal="center"/>
    </xf>
    <xf numFmtId="2" fontId="31" fillId="0" borderId="38" xfId="0" applyNumberFormat="1" applyFont="1" applyFill="1" applyBorder="1" applyAlignment="1">
      <alignment/>
    </xf>
    <xf numFmtId="164" fontId="17" fillId="0" borderId="38" xfId="0" applyFont="1" applyFill="1" applyBorder="1" applyAlignment="1" applyProtection="1">
      <alignment horizontal="center"/>
      <protection/>
    </xf>
    <xf numFmtId="2" fontId="17" fillId="0" borderId="38" xfId="0" applyNumberFormat="1" applyFont="1" applyFill="1" applyBorder="1" applyAlignment="1" applyProtection="1">
      <alignment horizontal="center"/>
      <protection/>
    </xf>
    <xf numFmtId="164" fontId="10" fillId="0" borderId="67" xfId="0" applyFont="1" applyBorder="1" applyAlignment="1" applyProtection="1">
      <alignment/>
      <protection/>
    </xf>
    <xf numFmtId="164" fontId="10" fillId="0" borderId="30" xfId="0" applyFont="1" applyBorder="1" applyAlignment="1">
      <alignment/>
    </xf>
    <xf numFmtId="164" fontId="6" fillId="0" borderId="29" xfId="0" applyFont="1" applyFill="1" applyBorder="1" applyAlignment="1" applyProtection="1" quotePrefix="1">
      <alignment horizontal="center"/>
      <protection locked="0"/>
    </xf>
    <xf numFmtId="164" fontId="6" fillId="0" borderId="74" xfId="0" applyFont="1" applyFill="1" applyBorder="1" applyAlignment="1" applyProtection="1">
      <alignment horizontal="center"/>
      <protection/>
    </xf>
    <xf numFmtId="164" fontId="6" fillId="0" borderId="29" xfId="0" applyFont="1" applyFill="1" applyBorder="1" applyAlignment="1" applyProtection="1">
      <alignment horizontal="center"/>
      <protection/>
    </xf>
    <xf numFmtId="164" fontId="6" fillId="0" borderId="74" xfId="0" applyFont="1" applyFill="1" applyBorder="1" applyAlignment="1" applyProtection="1">
      <alignment horizontal="left"/>
      <protection/>
    </xf>
    <xf numFmtId="49" fontId="35" fillId="0" borderId="19" xfId="0" applyNumberFormat="1" applyFont="1" applyFill="1" applyBorder="1" applyAlignment="1" applyProtection="1">
      <alignment horizontal="left"/>
      <protection/>
    </xf>
    <xf numFmtId="49" fontId="35" fillId="0" borderId="74" xfId="0" applyNumberFormat="1" applyFont="1" applyFill="1" applyBorder="1" applyAlignment="1" applyProtection="1">
      <alignment horizontal="left"/>
      <protection/>
    </xf>
    <xf numFmtId="164" fontId="35" fillId="0" borderId="76" xfId="0" applyFont="1" applyFill="1" applyBorder="1" applyAlignment="1" applyProtection="1">
      <alignment horizontal="left"/>
      <protection/>
    </xf>
    <xf numFmtId="49" fontId="35" fillId="0" borderId="77" xfId="0" applyNumberFormat="1" applyFont="1" applyFill="1" applyBorder="1" applyAlignment="1" applyProtection="1">
      <alignment horizontal="left"/>
      <protection/>
    </xf>
    <xf numFmtId="165" fontId="9" fillId="0" borderId="18" xfId="0" applyNumberFormat="1" applyFont="1" applyFill="1" applyBorder="1" applyAlignment="1" applyProtection="1">
      <alignment/>
      <protection/>
    </xf>
    <xf numFmtId="1" fontId="9" fillId="0" borderId="18" xfId="0" applyNumberFormat="1" applyFont="1" applyFill="1" applyBorder="1" applyAlignment="1" applyProtection="1">
      <alignment/>
      <protection/>
    </xf>
    <xf numFmtId="1" fontId="6" fillId="0" borderId="18" xfId="0" applyNumberFormat="1" applyFont="1" applyFill="1" applyBorder="1" applyAlignment="1" applyProtection="1">
      <alignment/>
      <protection/>
    </xf>
    <xf numFmtId="1" fontId="14" fillId="0" borderId="18" xfId="0" applyNumberFormat="1" applyFont="1" applyFill="1" applyBorder="1" applyAlignment="1" applyProtection="1">
      <alignment/>
      <protection/>
    </xf>
    <xf numFmtId="166" fontId="9" fillId="0" borderId="18" xfId="0" applyNumberFormat="1" applyFont="1" applyFill="1" applyBorder="1" applyAlignment="1" applyProtection="1">
      <alignment/>
      <protection/>
    </xf>
    <xf numFmtId="166" fontId="6" fillId="0" borderId="29" xfId="0" applyNumberFormat="1" applyFont="1" applyFill="1" applyBorder="1" applyAlignment="1" applyProtection="1">
      <alignment/>
      <protection/>
    </xf>
    <xf numFmtId="166" fontId="6" fillId="0" borderId="76" xfId="0" applyNumberFormat="1" applyFont="1" applyFill="1" applyBorder="1" applyAlignment="1" applyProtection="1">
      <alignment/>
      <protection/>
    </xf>
    <xf numFmtId="164" fontId="6" fillId="0" borderId="29" xfId="0" applyFont="1" applyFill="1" applyBorder="1" applyAlignment="1" applyProtection="1">
      <alignment/>
      <protection locked="0"/>
    </xf>
    <xf numFmtId="164" fontId="17" fillId="0" borderId="19" xfId="0" applyFont="1" applyFill="1" applyBorder="1" applyAlignment="1" applyProtection="1">
      <alignment/>
      <protection/>
    </xf>
    <xf numFmtId="2" fontId="17" fillId="0" borderId="74" xfId="0" applyNumberFormat="1" applyFont="1" applyFill="1" applyBorder="1" applyAlignment="1" applyProtection="1">
      <alignment/>
      <protection/>
    </xf>
    <xf numFmtId="164" fontId="6" fillId="0" borderId="74" xfId="0" applyFont="1" applyBorder="1" applyAlignment="1" applyProtection="1">
      <alignment/>
      <protection/>
    </xf>
    <xf numFmtId="164" fontId="6" fillId="0" borderId="29" xfId="0" applyFont="1" applyBorder="1" applyAlignment="1" applyProtection="1">
      <alignment/>
      <protection/>
    </xf>
    <xf numFmtId="167" fontId="9" fillId="0" borderId="78" xfId="0" applyNumberFormat="1" applyFont="1" applyBorder="1" applyAlignment="1" applyProtection="1">
      <alignment/>
      <protection/>
    </xf>
    <xf numFmtId="1" fontId="6" fillId="0" borderId="78" xfId="0" applyNumberFormat="1" applyFont="1" applyBorder="1" applyAlignment="1" applyProtection="1">
      <alignment/>
      <protection/>
    </xf>
    <xf numFmtId="164" fontId="0" fillId="0" borderId="76" xfId="0" applyBorder="1" applyAlignment="1" applyProtection="1">
      <alignment/>
      <protection/>
    </xf>
    <xf numFmtId="1" fontId="10" fillId="4" borderId="19" xfId="0" applyNumberFormat="1" applyFont="1" applyFill="1" applyBorder="1" applyAlignment="1" applyProtection="1">
      <alignment/>
      <protection/>
    </xf>
    <xf numFmtId="1" fontId="10" fillId="4" borderId="19" xfId="0" applyNumberFormat="1" applyFont="1" applyFill="1" applyBorder="1" applyAlignment="1" applyProtection="1">
      <alignment/>
      <protection/>
    </xf>
    <xf numFmtId="164" fontId="0" fillId="0" borderId="19" xfId="0" applyBorder="1" applyAlignment="1" applyProtection="1">
      <alignment/>
      <protection/>
    </xf>
    <xf numFmtId="164" fontId="20" fillId="0" borderId="0" xfId="0" applyFont="1" applyBorder="1" applyAlignment="1" applyProtection="1">
      <alignment horizontal="left"/>
      <protection/>
    </xf>
    <xf numFmtId="186" fontId="0" fillId="0" borderId="0" xfId="0" applyNumberFormat="1" applyAlignment="1">
      <alignment/>
    </xf>
    <xf numFmtId="172" fontId="10" fillId="0" borderId="23" xfId="0" applyNumberFormat="1" applyFont="1" applyBorder="1" applyAlignment="1">
      <alignment/>
    </xf>
    <xf numFmtId="164" fontId="6" fillId="0" borderId="0" xfId="0" applyFont="1" applyAlignment="1" applyProtection="1">
      <alignment horizontal="center"/>
      <protection/>
    </xf>
    <xf numFmtId="164" fontId="59" fillId="0" borderId="0" xfId="0" applyFont="1" applyAlignment="1">
      <alignment/>
    </xf>
    <xf numFmtId="164" fontId="59" fillId="0" borderId="0" xfId="0" applyFont="1" applyAlignment="1" applyProtection="1">
      <alignment horizontal="left"/>
      <protection/>
    </xf>
    <xf numFmtId="175" fontId="9" fillId="0" borderId="48" xfId="0" applyNumberFormat="1" applyFont="1" applyFill="1" applyBorder="1" applyAlignment="1" applyProtection="1">
      <alignment/>
      <protection/>
    </xf>
    <xf numFmtId="175" fontId="9" fillId="0" borderId="36" xfId="0" applyNumberFormat="1" applyFont="1" applyFill="1" applyBorder="1" applyAlignment="1" applyProtection="1">
      <alignment/>
      <protection/>
    </xf>
    <xf numFmtId="172" fontId="9" fillId="0" borderId="0" xfId="0" applyNumberFormat="1" applyFont="1" applyBorder="1" applyAlignment="1">
      <alignment/>
    </xf>
    <xf numFmtId="1" fontId="9" fillId="0" borderId="0" xfId="0" applyNumberFormat="1" applyFont="1" applyBorder="1" applyAlignment="1">
      <alignment/>
    </xf>
    <xf numFmtId="172" fontId="9" fillId="0" borderId="26" xfId="0" applyNumberFormat="1" applyFont="1" applyBorder="1" applyAlignment="1" applyProtection="1">
      <alignment horizontal="center"/>
      <protection/>
    </xf>
    <xf numFmtId="45" fontId="39" fillId="0" borderId="38" xfId="0" applyNumberFormat="1" applyFont="1" applyFill="1" applyBorder="1" applyAlignment="1" applyProtection="1">
      <alignment/>
      <protection locked="0"/>
    </xf>
    <xf numFmtId="49" fontId="9" fillId="0" borderId="79" xfId="0" applyNumberFormat="1" applyFont="1" applyBorder="1" applyAlignment="1" applyProtection="1">
      <alignment horizontal="center"/>
      <protection/>
    </xf>
    <xf numFmtId="49" fontId="0" fillId="0" borderId="80" xfId="0" applyNumberFormat="1" applyBorder="1" applyAlignment="1">
      <alignment/>
    </xf>
    <xf numFmtId="49" fontId="0" fillId="0" borderId="33" xfId="0" applyNumberFormat="1" applyBorder="1" applyAlignment="1">
      <alignment/>
    </xf>
    <xf numFmtId="45" fontId="39" fillId="0" borderId="19" xfId="0" applyNumberFormat="1" applyFont="1" applyFill="1" applyBorder="1" applyAlignment="1" applyProtection="1">
      <alignment/>
      <protection locked="0"/>
    </xf>
    <xf numFmtId="45" fontId="39" fillId="0" borderId="57" xfId="0" applyNumberFormat="1" applyFont="1" applyFill="1" applyBorder="1" applyAlignment="1" applyProtection="1">
      <alignment/>
      <protection locked="0"/>
    </xf>
    <xf numFmtId="49" fontId="6" fillId="0" borderId="81" xfId="0" applyNumberFormat="1" applyFont="1" applyBorder="1" applyAlignment="1" applyProtection="1">
      <alignment/>
      <protection/>
    </xf>
    <xf numFmtId="49" fontId="6" fillId="0" borderId="50" xfId="0" applyNumberFormat="1" applyFont="1" applyBorder="1" applyAlignment="1" applyProtection="1">
      <alignment/>
      <protection/>
    </xf>
    <xf numFmtId="49" fontId="6" fillId="0" borderId="37" xfId="0" applyNumberFormat="1" applyFont="1" applyBorder="1" applyAlignment="1" applyProtection="1">
      <alignment/>
      <protection/>
    </xf>
    <xf numFmtId="49" fontId="6" fillId="0" borderId="37" xfId="0" applyNumberFormat="1" applyFont="1" applyBorder="1" applyAlignment="1" applyProtection="1">
      <alignment horizontal="left"/>
      <protection/>
    </xf>
    <xf numFmtId="167" fontId="6" fillId="0" borderId="37" xfId="0" applyNumberFormat="1" applyFont="1" applyBorder="1" applyAlignment="1" applyProtection="1">
      <alignment/>
      <protection/>
    </xf>
    <xf numFmtId="172" fontId="9" fillId="0" borderId="47" xfId="0" applyNumberFormat="1" applyFont="1" applyBorder="1" applyAlignment="1" applyProtection="1">
      <alignment/>
      <protection/>
    </xf>
    <xf numFmtId="166" fontId="9" fillId="0" borderId="37" xfId="0" applyNumberFormat="1" applyFont="1" applyBorder="1" applyAlignment="1" applyProtection="1">
      <alignment/>
      <protection/>
    </xf>
    <xf numFmtId="166" fontId="6" fillId="0" borderId="37" xfId="0" applyNumberFormat="1" applyFont="1" applyBorder="1" applyAlignment="1" applyProtection="1">
      <alignment/>
      <protection/>
    </xf>
    <xf numFmtId="166" fontId="6" fillId="0" borderId="40" xfId="0" applyNumberFormat="1" applyFont="1" applyBorder="1" applyAlignment="1" applyProtection="1">
      <alignment/>
      <protection/>
    </xf>
    <xf numFmtId="164" fontId="9" fillId="0" borderId="50" xfId="0" applyFont="1" applyBorder="1" applyAlignment="1" applyProtection="1">
      <alignment/>
      <protection/>
    </xf>
    <xf numFmtId="2" fontId="9" fillId="0" borderId="50" xfId="0" applyNumberFormat="1" applyFont="1" applyBorder="1" applyAlignment="1" applyProtection="1">
      <alignment/>
      <protection/>
    </xf>
    <xf numFmtId="168" fontId="6" fillId="0" borderId="50" xfId="0" applyNumberFormat="1" applyFont="1" applyBorder="1" applyAlignment="1" applyProtection="1">
      <alignment/>
      <protection/>
    </xf>
    <xf numFmtId="1" fontId="9" fillId="0" borderId="36" xfId="0" applyNumberFormat="1" applyFont="1" applyBorder="1" applyAlignment="1" applyProtection="1">
      <alignment/>
      <protection/>
    </xf>
    <xf numFmtId="164" fontId="6" fillId="0" borderId="47" xfId="0" applyFont="1" applyBorder="1" applyAlignment="1" applyProtection="1">
      <alignment/>
      <protection/>
    </xf>
    <xf numFmtId="164" fontId="6" fillId="0" borderId="36" xfId="0" applyFont="1" applyBorder="1" applyAlignment="1" applyProtection="1">
      <alignment/>
      <protection/>
    </xf>
    <xf numFmtId="164" fontId="0" fillId="0" borderId="36" xfId="0" applyBorder="1" applyAlignment="1" applyProtection="1">
      <alignment/>
      <protection/>
    </xf>
    <xf numFmtId="1" fontId="10" fillId="4" borderId="57" xfId="0" applyNumberFormat="1" applyFont="1" applyFill="1" applyBorder="1" applyAlignment="1" applyProtection="1">
      <alignment/>
      <protection/>
    </xf>
    <xf numFmtId="1" fontId="10" fillId="4" borderId="57" xfId="0" applyNumberFormat="1" applyFont="1" applyFill="1" applyBorder="1" applyAlignment="1" applyProtection="1">
      <alignment/>
      <protection/>
    </xf>
    <xf numFmtId="164" fontId="0" fillId="0" borderId="57" xfId="0" applyBorder="1" applyAlignment="1" applyProtection="1">
      <alignment/>
      <protection/>
    </xf>
    <xf numFmtId="1" fontId="15" fillId="0" borderId="47" xfId="0" applyNumberFormat="1" applyFont="1" applyBorder="1" applyAlignment="1" applyProtection="1">
      <alignment/>
      <protection/>
    </xf>
    <xf numFmtId="164" fontId="0" fillId="0" borderId="37" xfId="0" applyBorder="1" applyAlignment="1" applyProtection="1">
      <alignment horizontal="right"/>
      <protection/>
    </xf>
    <xf numFmtId="172" fontId="10" fillId="0" borderId="37" xfId="0" applyNumberFormat="1" applyFont="1" applyBorder="1" applyAlignment="1" applyProtection="1">
      <alignment/>
      <protection/>
    </xf>
    <xf numFmtId="164" fontId="0" fillId="0" borderId="47" xfId="0" applyBorder="1" applyAlignment="1" applyProtection="1">
      <alignment/>
      <protection/>
    </xf>
    <xf numFmtId="164" fontId="9" fillId="0" borderId="48" xfId="0" applyFont="1" applyBorder="1" applyAlignment="1" applyProtection="1">
      <alignment horizontal="center"/>
      <protection/>
    </xf>
    <xf numFmtId="164" fontId="9" fillId="0" borderId="35" xfId="0" applyFont="1" applyBorder="1" applyAlignment="1" applyProtection="1">
      <alignment horizontal="center"/>
      <protection/>
    </xf>
    <xf numFmtId="164" fontId="9" fillId="0" borderId="56" xfId="0" applyFont="1" applyBorder="1" applyAlignment="1">
      <alignment horizontal="center"/>
    </xf>
    <xf numFmtId="164" fontId="9" fillId="0" borderId="12" xfId="0" applyFont="1" applyBorder="1" applyAlignment="1" applyProtection="1">
      <alignment horizontal="center"/>
      <protection/>
    </xf>
    <xf numFmtId="164" fontId="9" fillId="0" borderId="12" xfId="0" applyFont="1" applyBorder="1" applyAlignment="1">
      <alignment horizontal="center"/>
    </xf>
    <xf numFmtId="164" fontId="0" fillId="0" borderId="48" xfId="0" applyBorder="1" applyAlignment="1">
      <alignment horizontal="center"/>
    </xf>
    <xf numFmtId="164" fontId="9" fillId="0" borderId="0" xfId="0" applyFont="1" applyBorder="1" applyAlignment="1">
      <alignment horizontal="center"/>
    </xf>
    <xf numFmtId="164" fontId="9" fillId="0" borderId="14" xfId="0" applyFont="1" applyBorder="1" applyAlignment="1">
      <alignment horizontal="center"/>
    </xf>
    <xf numFmtId="164" fontId="9" fillId="0" borderId="13" xfId="0" applyFont="1" applyBorder="1" applyAlignment="1">
      <alignment horizontal="center"/>
    </xf>
    <xf numFmtId="164" fontId="9" fillId="0" borderId="14" xfId="0" applyFont="1" applyBorder="1" applyAlignment="1" applyProtection="1">
      <alignment horizontal="center"/>
      <protection/>
    </xf>
    <xf numFmtId="164" fontId="9" fillId="0" borderId="0" xfId="0" applyFont="1" applyBorder="1" applyAlignment="1" applyProtection="1">
      <alignment horizontal="center"/>
      <protection/>
    </xf>
    <xf numFmtId="164" fontId="0" fillId="0" borderId="34" xfId="0" applyBorder="1" applyAlignment="1">
      <alignment horizontal="center"/>
    </xf>
    <xf numFmtId="164" fontId="9" fillId="0" borderId="27" xfId="0" applyFont="1" applyBorder="1" applyAlignment="1">
      <alignment horizontal="center"/>
    </xf>
    <xf numFmtId="164" fontId="9" fillId="0" borderId="26" xfId="0" applyFont="1" applyBorder="1" applyAlignment="1" applyProtection="1">
      <alignment horizontal="center"/>
      <protection/>
    </xf>
    <xf numFmtId="164" fontId="9" fillId="0" borderId="26" xfId="0" applyFont="1" applyBorder="1" applyAlignment="1">
      <alignment horizontal="center"/>
    </xf>
    <xf numFmtId="164" fontId="0" fillId="0" borderId="35" xfId="0" applyBorder="1" applyAlignment="1">
      <alignment horizontal="center"/>
    </xf>
    <xf numFmtId="164" fontId="9" fillId="0" borderId="25" xfId="0" applyFont="1" applyBorder="1" applyAlignment="1">
      <alignment horizontal="center"/>
    </xf>
    <xf numFmtId="164" fontId="9" fillId="0" borderId="27" xfId="0" applyFont="1" applyBorder="1" applyAlignment="1" applyProtection="1">
      <alignment horizontal="center"/>
      <protection/>
    </xf>
    <xf numFmtId="164" fontId="6" fillId="0" borderId="13" xfId="0" applyFont="1" applyBorder="1" applyAlignment="1" applyProtection="1">
      <alignment horizontal="center"/>
      <protection/>
    </xf>
    <xf numFmtId="164" fontId="6" fillId="0" borderId="0" xfId="0" applyFont="1" applyBorder="1" applyAlignment="1">
      <alignment horizontal="center"/>
    </xf>
    <xf numFmtId="168" fontId="6" fillId="0" borderId="0" xfId="0" applyNumberFormat="1" applyFont="1" applyBorder="1" applyAlignment="1" applyProtection="1">
      <alignment horizontal="center"/>
      <protection/>
    </xf>
    <xf numFmtId="167" fontId="6" fillId="0" borderId="48" xfId="0" applyNumberFormat="1" applyFont="1" applyBorder="1" applyAlignment="1" applyProtection="1">
      <alignment horizontal="center"/>
      <protection/>
    </xf>
    <xf numFmtId="2" fontId="6" fillId="0" borderId="34" xfId="0" applyNumberFormat="1" applyFont="1" applyBorder="1" applyAlignment="1" applyProtection="1">
      <alignment horizontal="center"/>
      <protection/>
    </xf>
    <xf numFmtId="167" fontId="6" fillId="0" borderId="34" xfId="0" applyNumberFormat="1" applyFont="1" applyBorder="1" applyAlignment="1" applyProtection="1">
      <alignment horizontal="center"/>
      <protection/>
    </xf>
    <xf numFmtId="164" fontId="6" fillId="0" borderId="69" xfId="0" applyFont="1" applyBorder="1" applyAlignment="1">
      <alignment horizontal="center"/>
    </xf>
    <xf numFmtId="164" fontId="6" fillId="0" borderId="16" xfId="0" applyFont="1" applyBorder="1" applyAlignment="1">
      <alignment horizontal="center"/>
    </xf>
    <xf numFmtId="168" fontId="6" fillId="0" borderId="16" xfId="0" applyNumberFormat="1" applyFont="1" applyBorder="1" applyAlignment="1" applyProtection="1">
      <alignment horizontal="center"/>
      <protection/>
    </xf>
    <xf numFmtId="167" fontId="6" fillId="0" borderId="41" xfId="0" applyNumberFormat="1" applyFont="1" applyBorder="1" applyAlignment="1" applyProtection="1">
      <alignment horizontal="center"/>
      <protection/>
    </xf>
    <xf numFmtId="164" fontId="0" fillId="0" borderId="41" xfId="0" applyBorder="1" applyAlignment="1">
      <alignment horizontal="center"/>
    </xf>
    <xf numFmtId="164" fontId="6" fillId="0" borderId="13" xfId="0" applyFont="1" applyBorder="1" applyAlignment="1" applyProtection="1">
      <alignment horizontal="center"/>
      <protection/>
    </xf>
    <xf numFmtId="164" fontId="6" fillId="0" borderId="0" xfId="0" applyFont="1" applyBorder="1" applyAlignment="1">
      <alignment horizontal="center"/>
    </xf>
    <xf numFmtId="168" fontId="6" fillId="0" borderId="0" xfId="0" applyNumberFormat="1" applyFont="1" applyBorder="1" applyAlignment="1" applyProtection="1">
      <alignment horizontal="center"/>
      <protection/>
    </xf>
    <xf numFmtId="1" fontId="0" fillId="0" borderId="34" xfId="0" applyNumberFormat="1" applyFont="1" applyBorder="1" applyAlignment="1">
      <alignment horizontal="center"/>
    </xf>
    <xf numFmtId="164" fontId="60" fillId="4" borderId="37" xfId="0" applyFont="1" applyFill="1" applyBorder="1" applyAlignment="1" applyProtection="1">
      <alignment/>
      <protection/>
    </xf>
    <xf numFmtId="164" fontId="60" fillId="4" borderId="12" xfId="0" applyFont="1" applyFill="1" applyBorder="1" applyAlignment="1" applyProtection="1">
      <alignment/>
      <protection/>
    </xf>
    <xf numFmtId="164" fontId="61" fillId="4" borderId="12" xfId="0" applyFont="1" applyFill="1" applyBorder="1" applyAlignment="1" applyProtection="1">
      <alignment/>
      <protection/>
    </xf>
    <xf numFmtId="164" fontId="61" fillId="0" borderId="12" xfId="0" applyFont="1" applyFill="1" applyBorder="1" applyAlignment="1" applyProtection="1">
      <alignment/>
      <protection/>
    </xf>
    <xf numFmtId="164" fontId="15" fillId="0" borderId="0" xfId="0" applyFont="1" applyBorder="1" applyAlignment="1" applyProtection="1">
      <alignment/>
      <protection/>
    </xf>
    <xf numFmtId="164" fontId="15" fillId="0" borderId="32" xfId="0" applyFont="1" applyBorder="1" applyAlignment="1" applyProtection="1">
      <alignment/>
      <protection/>
    </xf>
    <xf numFmtId="164" fontId="58" fillId="0" borderId="16" xfId="0" applyFont="1" applyBorder="1" applyAlignment="1">
      <alignment/>
    </xf>
    <xf numFmtId="164" fontId="58" fillId="0" borderId="0" xfId="0" applyFont="1" applyAlignment="1">
      <alignment/>
    </xf>
    <xf numFmtId="164" fontId="15" fillId="0" borderId="30" xfId="0" applyFont="1" applyBorder="1" applyAlignment="1" applyProtection="1">
      <alignment/>
      <protection/>
    </xf>
    <xf numFmtId="164" fontId="15" fillId="0" borderId="0" xfId="0" applyFont="1" applyBorder="1" applyAlignment="1" applyProtection="1">
      <alignment horizontal="left"/>
      <protection/>
    </xf>
    <xf numFmtId="164" fontId="15" fillId="0" borderId="0" xfId="0" applyFont="1" applyAlignment="1" applyProtection="1">
      <alignment/>
      <protection/>
    </xf>
    <xf numFmtId="164" fontId="15" fillId="0" borderId="44" xfId="0" applyFont="1" applyBorder="1" applyAlignment="1" applyProtection="1" quotePrefix="1">
      <alignment horizontal="left"/>
      <protection/>
    </xf>
    <xf numFmtId="164" fontId="15" fillId="0" borderId="45" xfId="0" applyFont="1" applyBorder="1" applyAlignment="1" applyProtection="1">
      <alignment/>
      <protection/>
    </xf>
    <xf numFmtId="164" fontId="15" fillId="0" borderId="79" xfId="0" applyFont="1" applyBorder="1" applyAlignment="1" applyProtection="1">
      <alignment horizontal="left"/>
      <protection/>
    </xf>
    <xf numFmtId="164" fontId="15" fillId="0" borderId="33" xfId="0" applyFont="1" applyBorder="1" applyAlignment="1" applyProtection="1">
      <alignment horizontal="left"/>
      <protection/>
    </xf>
    <xf numFmtId="164" fontId="15" fillId="0" borderId="22" xfId="0" applyFont="1" applyBorder="1" applyAlignment="1" applyProtection="1">
      <alignment horizontal="center"/>
      <protection/>
    </xf>
    <xf numFmtId="164" fontId="15" fillId="0" borderId="61" xfId="0" applyFont="1" applyBorder="1" applyAlignment="1" applyProtection="1">
      <alignment/>
      <protection/>
    </xf>
    <xf numFmtId="164" fontId="15" fillId="0" borderId="28" xfId="0" applyFont="1" applyBorder="1" applyAlignment="1" applyProtection="1">
      <alignment/>
      <protection/>
    </xf>
    <xf numFmtId="167" fontId="15" fillId="0" borderId="0" xfId="0" applyNumberFormat="1" applyFont="1" applyBorder="1" applyAlignment="1" applyProtection="1">
      <alignment/>
      <protection/>
    </xf>
    <xf numFmtId="164" fontId="15" fillId="0" borderId="38" xfId="0" applyFont="1" applyFill="1" applyBorder="1" applyAlignment="1" applyProtection="1">
      <alignment/>
      <protection locked="0"/>
    </xf>
    <xf numFmtId="164" fontId="15" fillId="0" borderId="32" xfId="0" applyFont="1" applyFill="1" applyBorder="1" applyAlignment="1" applyProtection="1">
      <alignment horizontal="left"/>
      <protection/>
    </xf>
    <xf numFmtId="167" fontId="15" fillId="0" borderId="13" xfId="0" applyNumberFormat="1" applyFont="1" applyBorder="1" applyAlignment="1" applyProtection="1">
      <alignment/>
      <protection/>
    </xf>
    <xf numFmtId="164" fontId="15" fillId="0" borderId="19" xfId="0" applyFont="1" applyFill="1" applyBorder="1" applyAlignment="1" applyProtection="1">
      <alignment/>
      <protection locked="0"/>
    </xf>
    <xf numFmtId="167" fontId="15" fillId="0" borderId="29" xfId="0" applyNumberFormat="1" applyFont="1" applyFill="1" applyBorder="1" applyAlignment="1" applyProtection="1">
      <alignment/>
      <protection/>
    </xf>
    <xf numFmtId="164" fontId="15" fillId="0" borderId="37" xfId="0" applyFont="1" applyBorder="1" applyAlignment="1" applyProtection="1">
      <alignment/>
      <protection/>
    </xf>
    <xf numFmtId="167" fontId="15" fillId="0" borderId="37" xfId="0" applyNumberFormat="1" applyFont="1" applyBorder="1" applyAlignment="1" applyProtection="1">
      <alignment/>
      <protection/>
    </xf>
    <xf numFmtId="167" fontId="15" fillId="0" borderId="0" xfId="0" applyNumberFormat="1" applyFont="1" applyAlignment="1" applyProtection="1">
      <alignment/>
      <protection/>
    </xf>
    <xf numFmtId="164" fontId="15" fillId="0" borderId="0" xfId="0" applyFont="1" applyAlignment="1" applyProtection="1">
      <alignment horizontal="right"/>
      <protection/>
    </xf>
    <xf numFmtId="164" fontId="15" fillId="0" borderId="26" xfId="0" applyFont="1" applyBorder="1" applyAlignment="1" applyProtection="1">
      <alignment/>
      <protection/>
    </xf>
    <xf numFmtId="164" fontId="58" fillId="0" borderId="26" xfId="0" applyFont="1" applyBorder="1" applyAlignment="1">
      <alignment/>
    </xf>
    <xf numFmtId="164" fontId="15" fillId="0" borderId="26" xfId="0" applyFont="1" applyBorder="1" applyAlignment="1" applyProtection="1">
      <alignment horizontal="right"/>
      <protection/>
    </xf>
    <xf numFmtId="164" fontId="58" fillId="0" borderId="12" xfId="0" applyFont="1" applyBorder="1" applyAlignment="1" applyProtection="1">
      <alignment/>
      <protection/>
    </xf>
    <xf numFmtId="164" fontId="62" fillId="0" borderId="0" xfId="0" applyFont="1" applyAlignment="1">
      <alignment/>
    </xf>
    <xf numFmtId="167" fontId="6" fillId="22" borderId="0" xfId="0" applyNumberFormat="1" applyFont="1" applyFill="1" applyBorder="1" applyAlignment="1" applyProtection="1">
      <alignment/>
      <protection/>
    </xf>
    <xf numFmtId="2" fontId="40" fillId="24" borderId="11" xfId="0" applyNumberFormat="1" applyFont="1" applyFill="1" applyBorder="1" applyAlignment="1" applyProtection="1">
      <alignment/>
      <protection/>
    </xf>
    <xf numFmtId="167" fontId="14" fillId="0" borderId="25" xfId="0" applyNumberFormat="1" applyFont="1" applyBorder="1" applyAlignment="1" applyProtection="1">
      <alignment horizontal="right"/>
      <protection/>
    </xf>
    <xf numFmtId="167" fontId="14" fillId="0" borderId="27" xfId="0" applyNumberFormat="1" applyFont="1" applyBorder="1" applyAlignment="1" applyProtection="1">
      <alignment horizontal="center"/>
      <protection/>
    </xf>
    <xf numFmtId="1" fontId="9" fillId="0" borderId="47" xfId="0" applyNumberFormat="1" applyFont="1" applyBorder="1" applyAlignment="1" applyProtection="1">
      <alignment horizontal="center"/>
      <protection/>
    </xf>
    <xf numFmtId="1" fontId="10" fillId="20" borderId="42" xfId="0" applyNumberFormat="1" applyFont="1" applyFill="1" applyBorder="1" applyAlignment="1">
      <alignment horizontal="center" vertical="center"/>
    </xf>
    <xf numFmtId="45" fontId="10" fillId="20" borderId="67" xfId="0" applyNumberFormat="1" applyFont="1" applyFill="1" applyBorder="1" applyAlignment="1">
      <alignment horizontal="center" vertical="center"/>
    </xf>
    <xf numFmtId="164" fontId="10" fillId="0" borderId="69" xfId="0" applyFont="1" applyBorder="1" applyAlignment="1" applyProtection="1">
      <alignment/>
      <protection locked="0"/>
    </xf>
    <xf numFmtId="1" fontId="10" fillId="20" borderId="82" xfId="0" applyNumberFormat="1" applyFont="1" applyFill="1" applyBorder="1" applyAlignment="1">
      <alignment horizontal="center" vertical="center"/>
    </xf>
    <xf numFmtId="45" fontId="10" fillId="20" borderId="32" xfId="0" applyNumberFormat="1" applyFont="1" applyFill="1" applyBorder="1" applyAlignment="1">
      <alignment horizontal="center" vertical="center"/>
    </xf>
    <xf numFmtId="164" fontId="0" fillId="0" borderId="16" xfId="0" applyBorder="1" applyAlignment="1" applyProtection="1">
      <alignment/>
      <protection/>
    </xf>
    <xf numFmtId="164" fontId="10" fillId="0" borderId="69" xfId="0" applyFont="1" applyBorder="1" applyAlignment="1">
      <alignment/>
    </xf>
    <xf numFmtId="164" fontId="10" fillId="0" borderId="16" xfId="0" applyFont="1" applyBorder="1" applyAlignment="1">
      <alignment/>
    </xf>
    <xf numFmtId="164" fontId="15" fillId="0" borderId="18" xfId="0" applyFont="1" applyFill="1" applyBorder="1" applyAlignment="1" applyProtection="1">
      <alignment/>
      <protection locked="0"/>
    </xf>
    <xf numFmtId="164" fontId="23" fillId="4" borderId="54" xfId="0" applyFont="1" applyFill="1" applyBorder="1" applyAlignment="1" applyProtection="1">
      <alignment/>
      <protection/>
    </xf>
    <xf numFmtId="164" fontId="6" fillId="0" borderId="15" xfId="0" applyFont="1" applyBorder="1" applyAlignment="1" applyProtection="1">
      <alignment horizontal="center"/>
      <protection/>
    </xf>
    <xf numFmtId="164" fontId="0" fillId="0" borderId="83" xfId="0" applyFont="1" applyBorder="1" applyAlignment="1">
      <alignment/>
    </xf>
    <xf numFmtId="164" fontId="6" fillId="0" borderId="17" xfId="0" applyFont="1" applyFill="1" applyBorder="1" applyAlignment="1" applyProtection="1">
      <alignment/>
      <protection/>
    </xf>
    <xf numFmtId="164" fontId="6" fillId="0" borderId="18" xfId="0" applyFont="1" applyFill="1" applyBorder="1" applyAlignment="1" applyProtection="1">
      <alignment/>
      <protection/>
    </xf>
    <xf numFmtId="164" fontId="6" fillId="0" borderId="81" xfId="0" applyFont="1" applyBorder="1" applyAlignment="1" applyProtection="1">
      <alignment/>
      <protection/>
    </xf>
    <xf numFmtId="164" fontId="0" fillId="0" borderId="84" xfId="0" applyFont="1" applyBorder="1" applyAlignment="1" applyProtection="1">
      <alignment/>
      <protection/>
    </xf>
    <xf numFmtId="164" fontId="0" fillId="0" borderId="15" xfId="0" applyFont="1" applyBorder="1" applyAlignment="1">
      <alignment/>
    </xf>
    <xf numFmtId="164" fontId="0" fillId="0" borderId="52" xfId="0" applyFont="1" applyBorder="1" applyAlignment="1">
      <alignment/>
    </xf>
    <xf numFmtId="167" fontId="64" fillId="0" borderId="0" xfId="0" applyNumberFormat="1" applyFont="1" applyAlignment="1">
      <alignment/>
    </xf>
    <xf numFmtId="167" fontId="64" fillId="0" borderId="0" xfId="0" applyNumberFormat="1" applyFont="1" applyAlignment="1" applyProtection="1">
      <alignment horizontal="left"/>
      <protection/>
    </xf>
    <xf numFmtId="167" fontId="55" fillId="0" borderId="34" xfId="0" applyNumberFormat="1" applyFont="1" applyBorder="1" applyAlignment="1" applyProtection="1">
      <alignment horizontal="center"/>
      <protection/>
    </xf>
    <xf numFmtId="167" fontId="55" fillId="0" borderId="41" xfId="0" applyNumberFormat="1" applyFont="1" applyBorder="1" applyAlignment="1" applyProtection="1">
      <alignment horizontal="center"/>
      <protection/>
    </xf>
    <xf numFmtId="167" fontId="55" fillId="0" borderId="48" xfId="0" applyNumberFormat="1" applyFont="1" applyBorder="1" applyAlignment="1" applyProtection="1">
      <alignment horizontal="center"/>
      <protection/>
    </xf>
    <xf numFmtId="167" fontId="56" fillId="0" borderId="34" xfId="0" applyNumberFormat="1" applyFont="1" applyBorder="1" applyAlignment="1" applyProtection="1">
      <alignment horizontal="center"/>
      <protection/>
    </xf>
    <xf numFmtId="167" fontId="55" fillId="0" borderId="49" xfId="0" applyNumberFormat="1" applyFont="1" applyBorder="1" applyAlignment="1" applyProtection="1">
      <alignment horizontal="center"/>
      <protection/>
    </xf>
    <xf numFmtId="164" fontId="9" fillId="0" borderId="58" xfId="0" applyFont="1" applyBorder="1" applyAlignment="1" applyProtection="1">
      <alignment horizontal="center"/>
      <protection/>
    </xf>
    <xf numFmtId="164" fontId="9" fillId="0" borderId="28" xfId="0" applyFont="1" applyBorder="1" applyAlignment="1">
      <alignment horizontal="center"/>
    </xf>
    <xf numFmtId="168" fontId="9" fillId="0" borderId="28" xfId="0" applyNumberFormat="1" applyFont="1" applyBorder="1" applyAlignment="1" applyProtection="1">
      <alignment horizontal="center"/>
      <protection/>
    </xf>
    <xf numFmtId="1" fontId="10" fillId="0" borderId="49" xfId="0" applyNumberFormat="1" applyFont="1" applyBorder="1" applyAlignment="1">
      <alignment horizontal="center"/>
    </xf>
    <xf numFmtId="2" fontId="9" fillId="0" borderId="49" xfId="0" applyNumberFormat="1" applyFont="1" applyBorder="1" applyAlignment="1" applyProtection="1">
      <alignment horizontal="center"/>
      <protection/>
    </xf>
    <xf numFmtId="164" fontId="9" fillId="0" borderId="69" xfId="0" applyFont="1" applyBorder="1" applyAlignment="1" applyProtection="1">
      <alignment horizontal="center"/>
      <protection/>
    </xf>
    <xf numFmtId="164" fontId="9" fillId="0" borderId="16" xfId="0" applyFont="1" applyBorder="1" applyAlignment="1">
      <alignment horizontal="center"/>
    </xf>
    <xf numFmtId="168" fontId="9" fillId="0" borderId="16" xfId="0" applyNumberFormat="1" applyFont="1" applyBorder="1" applyAlignment="1" applyProtection="1">
      <alignment horizontal="center"/>
      <protection/>
    </xf>
    <xf numFmtId="1" fontId="10" fillId="0" borderId="41" xfId="0" applyNumberFormat="1" applyFont="1" applyBorder="1" applyAlignment="1">
      <alignment horizontal="center"/>
    </xf>
    <xf numFmtId="2" fontId="6" fillId="0" borderId="41" xfId="0" applyNumberFormat="1" applyFont="1" applyBorder="1" applyAlignment="1" applyProtection="1">
      <alignment horizontal="center"/>
      <protection/>
    </xf>
    <xf numFmtId="164" fontId="9" fillId="0" borderId="16" xfId="0" applyFont="1" applyBorder="1" applyAlignment="1" applyProtection="1">
      <alignment horizontal="left"/>
      <protection/>
    </xf>
    <xf numFmtId="0" fontId="6" fillId="0" borderId="0" xfId="58" applyFont="1" applyBorder="1" applyProtection="1">
      <alignment/>
      <protection/>
    </xf>
    <xf numFmtId="1" fontId="9" fillId="0" borderId="0" xfId="58" applyNumberFormat="1" applyFont="1" applyFill="1" applyBorder="1" applyAlignment="1" applyProtection="1">
      <alignment horizontal="center"/>
      <protection/>
    </xf>
    <xf numFmtId="1" fontId="6" fillId="0" borderId="15" xfId="0" applyNumberFormat="1" applyFont="1" applyBorder="1" applyAlignment="1" applyProtection="1">
      <alignment/>
      <protection/>
    </xf>
    <xf numFmtId="1" fontId="0" fillId="0" borderId="17" xfId="0" applyNumberFormat="1" applyFont="1" applyFill="1" applyBorder="1" applyAlignment="1" applyProtection="1">
      <alignment/>
      <protection/>
    </xf>
    <xf numFmtId="167" fontId="15" fillId="0" borderId="69" xfId="0" applyNumberFormat="1" applyFont="1" applyFill="1" applyBorder="1" applyAlignment="1" applyProtection="1">
      <alignment/>
      <protection/>
    </xf>
    <xf numFmtId="167" fontId="15" fillId="0" borderId="76" xfId="0" applyNumberFormat="1" applyFont="1" applyFill="1" applyBorder="1" applyAlignment="1" applyProtection="1">
      <alignment/>
      <protection/>
    </xf>
    <xf numFmtId="167" fontId="14" fillId="0" borderId="59" xfId="0" applyNumberFormat="1" applyFont="1" applyFill="1" applyBorder="1" applyAlignment="1" applyProtection="1">
      <alignment/>
      <protection/>
    </xf>
    <xf numFmtId="167" fontId="15" fillId="0" borderId="40" xfId="0" applyNumberFormat="1" applyFont="1" applyBorder="1" applyAlignment="1" applyProtection="1">
      <alignment/>
      <protection/>
    </xf>
    <xf numFmtId="167" fontId="7" fillId="0" borderId="0" xfId="0" applyNumberFormat="1" applyFont="1" applyFill="1" applyBorder="1" applyAlignment="1" applyProtection="1">
      <alignment/>
      <protection/>
    </xf>
    <xf numFmtId="164" fontId="42" fillId="0" borderId="0" xfId="0" applyFont="1" applyFill="1" applyAlignment="1" applyProtection="1">
      <alignment/>
      <protection/>
    </xf>
    <xf numFmtId="170" fontId="42" fillId="0" borderId="0" xfId="0" applyNumberFormat="1" applyFont="1" applyFill="1" applyAlignment="1" applyProtection="1">
      <alignment/>
      <protection/>
    </xf>
    <xf numFmtId="164" fontId="0" fillId="0" borderId="0" xfId="0" applyFill="1" applyAlignment="1">
      <alignment/>
    </xf>
    <xf numFmtId="164" fontId="10" fillId="0" borderId="0" xfId="0" applyFont="1" applyFill="1" applyAlignment="1">
      <alignment/>
    </xf>
    <xf numFmtId="164" fontId="25" fillId="4" borderId="19" xfId="0" applyFont="1" applyFill="1" applyBorder="1" applyAlignment="1" applyProtection="1">
      <alignment/>
      <protection/>
    </xf>
    <xf numFmtId="164" fontId="25" fillId="4" borderId="85" xfId="0" applyFont="1" applyFill="1" applyBorder="1" applyAlignment="1" applyProtection="1">
      <alignment/>
      <protection/>
    </xf>
    <xf numFmtId="164" fontId="25" fillId="4" borderId="85" xfId="0" applyFont="1" applyFill="1" applyBorder="1" applyAlignment="1" applyProtection="1" quotePrefix="1">
      <alignment horizontal="left"/>
      <protection/>
    </xf>
    <xf numFmtId="164" fontId="25" fillId="4" borderId="85" xfId="0" applyFont="1" applyFill="1" applyBorder="1" applyAlignment="1" applyProtection="1">
      <alignment/>
      <protection/>
    </xf>
    <xf numFmtId="164" fontId="0" fillId="4" borderId="38" xfId="0" applyFill="1" applyBorder="1" applyAlignment="1">
      <alignment/>
    </xf>
    <xf numFmtId="164" fontId="0" fillId="4" borderId="60" xfId="0" applyFont="1" applyFill="1" applyBorder="1" applyAlignment="1">
      <alignment/>
    </xf>
    <xf numFmtId="164" fontId="0" fillId="4" borderId="61" xfId="0" applyFont="1" applyFill="1" applyBorder="1" applyAlignment="1">
      <alignment/>
    </xf>
    <xf numFmtId="164" fontId="23" fillId="4" borderId="12" xfId="0" applyFont="1" applyFill="1" applyBorder="1" applyAlignment="1" applyProtection="1">
      <alignment/>
      <protection/>
    </xf>
    <xf numFmtId="164" fontId="6" fillId="0" borderId="38" xfId="0" applyFont="1" applyBorder="1" applyAlignment="1">
      <alignment/>
    </xf>
    <xf numFmtId="164" fontId="6" fillId="0" borderId="0" xfId="0" applyFont="1" applyBorder="1" applyAlignment="1" applyProtection="1">
      <alignment horizontal="left"/>
      <protection/>
    </xf>
    <xf numFmtId="164" fontId="6" fillId="0" borderId="12" xfId="0" applyFont="1" applyBorder="1" applyAlignment="1" applyProtection="1">
      <alignment/>
      <protection/>
    </xf>
    <xf numFmtId="167" fontId="6" fillId="0" borderId="47" xfId="0" applyNumberFormat="1" applyFont="1" applyBorder="1" applyAlignment="1" applyProtection="1">
      <alignment/>
      <protection/>
    </xf>
    <xf numFmtId="164" fontId="6" fillId="0" borderId="26" xfId="0" applyFont="1" applyBorder="1" applyAlignment="1" applyProtection="1">
      <alignment horizontal="right"/>
      <protection/>
    </xf>
    <xf numFmtId="164" fontId="6" fillId="0" borderId="0" xfId="0" applyFont="1" applyBorder="1" applyAlignment="1">
      <alignment/>
    </xf>
    <xf numFmtId="164" fontId="6" fillId="0" borderId="26" xfId="0" applyFont="1" applyBorder="1" applyAlignment="1">
      <alignment/>
    </xf>
    <xf numFmtId="164" fontId="6" fillId="0" borderId="0" xfId="0" applyFont="1" applyAlignment="1">
      <alignment/>
    </xf>
    <xf numFmtId="164" fontId="8" fillId="22" borderId="56" xfId="0" applyFont="1" applyFill="1" applyBorder="1" applyAlignment="1" applyProtection="1">
      <alignment/>
      <protection locked="0"/>
    </xf>
    <xf numFmtId="164" fontId="8" fillId="22" borderId="27" xfId="0" applyFont="1" applyFill="1" applyBorder="1" applyAlignment="1" applyProtection="1">
      <alignment/>
      <protection locked="0"/>
    </xf>
    <xf numFmtId="164" fontId="23" fillId="4" borderId="11" xfId="0" applyFont="1" applyFill="1" applyBorder="1" applyAlignment="1" applyProtection="1">
      <alignment/>
      <protection locked="0"/>
    </xf>
    <xf numFmtId="164" fontId="23" fillId="4" borderId="37" xfId="0" applyFont="1" applyFill="1" applyBorder="1" applyAlignment="1" applyProtection="1">
      <alignment/>
      <protection locked="0"/>
    </xf>
    <xf numFmtId="164" fontId="37" fillId="0" borderId="37" xfId="0" applyFont="1" applyFill="1" applyBorder="1" applyAlignment="1" applyProtection="1">
      <alignment/>
      <protection locked="0"/>
    </xf>
    <xf numFmtId="164" fontId="25" fillId="4" borderId="37" xfId="0" applyFont="1" applyFill="1" applyBorder="1" applyAlignment="1" applyProtection="1">
      <alignment/>
      <protection locked="0"/>
    </xf>
    <xf numFmtId="164" fontId="0" fillId="4" borderId="26" xfId="0" applyFont="1" applyFill="1" applyBorder="1" applyAlignment="1" applyProtection="1">
      <alignment horizontal="right"/>
      <protection locked="0"/>
    </xf>
    <xf numFmtId="167" fontId="14" fillId="0" borderId="14" xfId="0" applyNumberFormat="1" applyFont="1" applyFill="1" applyBorder="1" applyAlignment="1" applyProtection="1">
      <alignment/>
      <protection/>
    </xf>
    <xf numFmtId="164" fontId="15" fillId="0" borderId="15" xfId="0" applyFont="1" applyBorder="1" applyAlignment="1" applyProtection="1">
      <alignment/>
      <protection/>
    </xf>
    <xf numFmtId="164" fontId="15" fillId="0" borderId="17" xfId="0" applyFont="1" applyFill="1" applyBorder="1" applyAlignment="1" applyProtection="1">
      <alignment/>
      <protection/>
    </xf>
    <xf numFmtId="165" fontId="6" fillId="0" borderId="0" xfId="0" applyNumberFormat="1" applyFont="1" applyAlignment="1" applyProtection="1">
      <alignment horizontal="center"/>
      <protection/>
    </xf>
    <xf numFmtId="172" fontId="6" fillId="0" borderId="16" xfId="0" applyNumberFormat="1" applyFont="1" applyFill="1" applyBorder="1" applyAlignment="1" applyProtection="1">
      <alignment horizontal="center"/>
      <protection/>
    </xf>
    <xf numFmtId="172" fontId="6" fillId="0" borderId="37" xfId="0" applyNumberFormat="1" applyFont="1" applyFill="1" applyBorder="1" applyAlignment="1" applyProtection="1">
      <alignment horizontal="center"/>
      <protection/>
    </xf>
    <xf numFmtId="45" fontId="39" fillId="0" borderId="23" xfId="0" applyNumberFormat="1" applyFont="1" applyFill="1" applyBorder="1" applyAlignment="1" applyProtection="1">
      <alignment/>
      <protection/>
    </xf>
    <xf numFmtId="164" fontId="14" fillId="0" borderId="63" xfId="0" applyFont="1" applyBorder="1" applyAlignment="1" applyProtection="1">
      <alignment/>
      <protection/>
    </xf>
    <xf numFmtId="164" fontId="67" fillId="0" borderId="29" xfId="0" applyFont="1" applyBorder="1" applyAlignment="1">
      <alignment/>
    </xf>
    <xf numFmtId="164" fontId="68" fillId="0" borderId="0" xfId="0" applyFont="1" applyAlignment="1">
      <alignment/>
    </xf>
    <xf numFmtId="164" fontId="13" fillId="0" borderId="0" xfId="0" applyFont="1" applyAlignment="1">
      <alignment/>
    </xf>
    <xf numFmtId="0" fontId="0" fillId="0" borderId="0" xfId="58" applyFont="1" applyProtection="1">
      <alignment/>
      <protection/>
    </xf>
    <xf numFmtId="0" fontId="6" fillId="0" borderId="0" xfId="58" applyFont="1" applyProtection="1">
      <alignment/>
      <protection/>
    </xf>
    <xf numFmtId="0" fontId="6" fillId="0" borderId="0" xfId="58" applyFill="1" applyBorder="1" applyProtection="1">
      <alignment/>
      <protection/>
    </xf>
    <xf numFmtId="0" fontId="9" fillId="0" borderId="0" xfId="58" applyFont="1" applyFill="1" applyBorder="1" applyProtection="1">
      <alignment/>
      <protection/>
    </xf>
    <xf numFmtId="0" fontId="51" fillId="0" borderId="0" xfId="58" applyFont="1" applyFill="1" applyBorder="1" applyProtection="1">
      <alignment/>
      <protection/>
    </xf>
    <xf numFmtId="0" fontId="51" fillId="0" borderId="0" xfId="58" applyFont="1" applyFill="1" applyBorder="1" applyAlignment="1" applyProtection="1">
      <alignment horizontal="center" vertical="center"/>
      <protection/>
    </xf>
    <xf numFmtId="0" fontId="6" fillId="0" borderId="0" xfId="58" applyFont="1" applyFill="1" applyBorder="1" applyAlignment="1" applyProtection="1">
      <alignment horizontal="center" vertical="center"/>
      <protection/>
    </xf>
    <xf numFmtId="0" fontId="51" fillId="0" borderId="0" xfId="58" applyFont="1" applyFill="1" applyBorder="1" applyAlignment="1" applyProtection="1">
      <alignment horizontal="left" vertical="center"/>
      <protection/>
    </xf>
    <xf numFmtId="164" fontId="0" fillId="0" borderId="0" xfId="0" applyBorder="1" applyAlignment="1">
      <alignment horizontal="center"/>
    </xf>
    <xf numFmtId="0" fontId="51" fillId="0" borderId="0" xfId="58" applyFont="1" applyBorder="1" applyAlignment="1" applyProtection="1">
      <alignment horizontal="center" vertical="center"/>
      <protection/>
    </xf>
    <xf numFmtId="0" fontId="52" fillId="0" borderId="0" xfId="58" applyFont="1" applyFill="1" applyBorder="1" applyAlignment="1" applyProtection="1">
      <alignment horizontal="center" vertical="center"/>
      <protection/>
    </xf>
    <xf numFmtId="0" fontId="53" fillId="0" borderId="0" xfId="58" applyFont="1" applyFill="1" applyBorder="1" applyAlignment="1" applyProtection="1">
      <alignment horizontal="center" vertical="center"/>
      <protection/>
    </xf>
    <xf numFmtId="0" fontId="9" fillId="0" borderId="0" xfId="58" applyFont="1" applyFill="1" applyBorder="1" applyAlignment="1" applyProtection="1">
      <alignment horizontal="center" vertical="center"/>
      <protection/>
    </xf>
    <xf numFmtId="1" fontId="51" fillId="0" borderId="0" xfId="58" applyNumberFormat="1" applyFont="1" applyFill="1" applyBorder="1" applyAlignment="1" applyProtection="1">
      <alignment horizontal="center" vertical="center"/>
      <protection locked="0"/>
    </xf>
    <xf numFmtId="171" fontId="52" fillId="0" borderId="0" xfId="58" applyNumberFormat="1" applyFont="1" applyFill="1" applyBorder="1" applyAlignment="1" applyProtection="1">
      <alignment horizontal="center"/>
      <protection/>
    </xf>
    <xf numFmtId="0" fontId="51" fillId="0" borderId="0" xfId="58" applyFont="1" applyFill="1" applyBorder="1" applyAlignment="1" applyProtection="1">
      <alignment horizontal="right"/>
      <protection/>
    </xf>
    <xf numFmtId="0" fontId="9" fillId="0" borderId="0" xfId="58" applyFont="1" applyFill="1" applyBorder="1" applyAlignment="1" applyProtection="1">
      <alignment horizontal="right" vertical="center"/>
      <protection/>
    </xf>
    <xf numFmtId="175" fontId="49" fillId="0" borderId="0" xfId="58" applyNumberFormat="1" applyFont="1" applyFill="1" applyBorder="1" applyAlignment="1" applyProtection="1">
      <alignment horizontal="center"/>
      <protection locked="0"/>
    </xf>
    <xf numFmtId="164" fontId="41" fillId="7" borderId="0" xfId="0" applyFont="1" applyFill="1" applyBorder="1" applyAlignment="1">
      <alignment horizontal="center"/>
    </xf>
    <xf numFmtId="164" fontId="6" fillId="0" borderId="12" xfId="0" applyFont="1" applyBorder="1" applyAlignment="1" applyProtection="1">
      <alignment horizontal="center"/>
      <protection/>
    </xf>
    <xf numFmtId="164" fontId="20" fillId="0" borderId="26" xfId="0" applyFont="1" applyBorder="1" applyAlignment="1" applyProtection="1" quotePrefix="1">
      <alignment horizontal="center"/>
      <protection/>
    </xf>
    <xf numFmtId="164" fontId="13" fillId="0" borderId="12" xfId="0" applyFont="1" applyBorder="1" applyAlignment="1">
      <alignment horizontal="center"/>
    </xf>
    <xf numFmtId="164" fontId="0" fillId="0" borderId="0" xfId="0" applyFont="1" applyBorder="1" applyAlignment="1">
      <alignment horizontal="center"/>
    </xf>
    <xf numFmtId="164" fontId="6" fillId="0" borderId="0" xfId="0" applyFont="1" applyBorder="1" applyAlignment="1" applyProtection="1" quotePrefix="1">
      <alignment horizontal="center"/>
      <protection/>
    </xf>
    <xf numFmtId="164" fontId="20" fillId="0" borderId="12" xfId="0" applyFont="1" applyBorder="1" applyAlignment="1" applyProtection="1">
      <alignment horizontal="right"/>
      <protection/>
    </xf>
    <xf numFmtId="164" fontId="20" fillId="0" borderId="0" xfId="0" applyFont="1" applyBorder="1" applyAlignment="1" applyProtection="1">
      <alignment horizontal="right"/>
      <protection/>
    </xf>
    <xf numFmtId="164" fontId="16" fillId="0" borderId="24" xfId="0" applyFont="1" applyFill="1" applyBorder="1" applyAlignment="1" applyProtection="1" quotePrefix="1">
      <alignment horizontal="center"/>
      <protection locked="0"/>
    </xf>
    <xf numFmtId="164" fontId="16" fillId="0" borderId="61" xfId="0" applyFont="1" applyFill="1" applyBorder="1" applyAlignment="1" applyProtection="1" quotePrefix="1">
      <alignment horizontal="center"/>
      <protection locked="0"/>
    </xf>
    <xf numFmtId="164" fontId="16" fillId="0" borderId="23" xfId="0" applyFont="1" applyFill="1" applyBorder="1" applyAlignment="1" applyProtection="1" quotePrefix="1">
      <alignment horizontal="center"/>
      <protection locked="0"/>
    </xf>
    <xf numFmtId="164" fontId="16" fillId="0" borderId="24" xfId="0" applyFont="1" applyFill="1" applyBorder="1" applyAlignment="1" applyProtection="1">
      <alignment horizontal="center"/>
      <protection locked="0"/>
    </xf>
    <xf numFmtId="164" fontId="71" fillId="0" borderId="24" xfId="0" applyFont="1" applyFill="1" applyBorder="1" applyAlignment="1" applyProtection="1" quotePrefix="1">
      <alignment horizontal="center"/>
      <protection locked="0"/>
    </xf>
    <xf numFmtId="164" fontId="17" fillId="0" borderId="24" xfId="0" applyFont="1" applyFill="1" applyBorder="1" applyAlignment="1" applyProtection="1" quotePrefix="1">
      <alignment horizontal="center"/>
      <protection locked="0"/>
    </xf>
    <xf numFmtId="0" fontId="37" fillId="0" borderId="19" xfId="58" applyFont="1" applyFill="1" applyBorder="1" applyAlignment="1" applyProtection="1">
      <alignment horizontal="center" vertical="center" wrapText="1"/>
      <protection locked="0"/>
    </xf>
    <xf numFmtId="0" fontId="37" fillId="0" borderId="40" xfId="58" applyFont="1" applyFill="1" applyBorder="1" applyAlignment="1" applyProtection="1">
      <alignment horizontal="center" vertical="center"/>
      <protection/>
    </xf>
    <xf numFmtId="0" fontId="37" fillId="0" borderId="13" xfId="58" applyFont="1" applyFill="1" applyBorder="1" applyAlignment="1" applyProtection="1">
      <alignment horizontal="center" vertical="center"/>
      <protection/>
    </xf>
    <xf numFmtId="0" fontId="6" fillId="0" borderId="0" xfId="59" applyBorder="1" applyAlignment="1">
      <alignment horizontal="center"/>
      <protection/>
    </xf>
    <xf numFmtId="0" fontId="37" fillId="0" borderId="82" xfId="58" applyFont="1" applyFill="1" applyBorder="1" applyAlignment="1" applyProtection="1">
      <alignment horizontal="center" vertical="center"/>
      <protection/>
    </xf>
    <xf numFmtId="0" fontId="6" fillId="0" borderId="0" xfId="59" applyBorder="1" applyAlignment="1">
      <alignment horizontal="center" vertical="center"/>
      <protection/>
    </xf>
    <xf numFmtId="0" fontId="61" fillId="0" borderId="54" xfId="59" applyFont="1" applyFill="1" applyBorder="1" applyAlignment="1">
      <alignment horizontal="right" vertical="center"/>
      <protection/>
    </xf>
    <xf numFmtId="0" fontId="37" fillId="0" borderId="13" xfId="58" applyFont="1" applyBorder="1" applyProtection="1">
      <alignment/>
      <protection/>
    </xf>
    <xf numFmtId="0" fontId="37" fillId="0" borderId="65" xfId="58" applyFont="1" applyFill="1" applyBorder="1" applyAlignment="1" applyProtection="1">
      <alignment horizontal="right" vertical="center"/>
      <protection/>
    </xf>
    <xf numFmtId="0" fontId="37" fillId="0" borderId="0" xfId="58" applyFont="1" applyBorder="1" applyProtection="1">
      <alignment/>
      <protection/>
    </xf>
    <xf numFmtId="0" fontId="37" fillId="0" borderId="0" xfId="58" applyFont="1" applyProtection="1">
      <alignment/>
      <protection/>
    </xf>
    <xf numFmtId="0" fontId="37" fillId="0" borderId="85" xfId="58" applyFont="1" applyFill="1" applyBorder="1" applyAlignment="1" applyProtection="1">
      <alignment horizontal="right" vertical="center"/>
      <protection/>
    </xf>
    <xf numFmtId="0" fontId="6" fillId="0" borderId="0" xfId="58" applyFill="1" applyProtection="1">
      <alignment/>
      <protection/>
    </xf>
    <xf numFmtId="0" fontId="6" fillId="0" borderId="0" xfId="59" applyFill="1" applyProtection="1">
      <alignment/>
      <protection/>
    </xf>
    <xf numFmtId="0" fontId="6" fillId="0" borderId="0" xfId="59" applyProtection="1">
      <alignment/>
      <protection/>
    </xf>
    <xf numFmtId="0" fontId="6" fillId="0" borderId="36" xfId="58" applyBorder="1" applyProtection="1">
      <alignment/>
      <protection/>
    </xf>
    <xf numFmtId="0" fontId="6" fillId="0" borderId="12" xfId="59" applyBorder="1">
      <alignment/>
      <protection/>
    </xf>
    <xf numFmtId="0" fontId="37" fillId="0" borderId="62" xfId="58" applyFont="1" applyBorder="1" applyAlignment="1" applyProtection="1">
      <alignment horizontal="left"/>
      <protection/>
    </xf>
    <xf numFmtId="0" fontId="37" fillId="0" borderId="60" xfId="59" applyFont="1" applyBorder="1" applyAlignment="1">
      <alignment/>
      <protection/>
    </xf>
    <xf numFmtId="0" fontId="37" fillId="0" borderId="60" xfId="58" applyFont="1" applyBorder="1" applyProtection="1">
      <alignment/>
      <protection/>
    </xf>
    <xf numFmtId="0" fontId="9" fillId="0" borderId="38" xfId="58" applyFont="1" applyBorder="1" applyAlignment="1" applyProtection="1">
      <alignment horizontal="center" vertical="center"/>
      <protection/>
    </xf>
    <xf numFmtId="0" fontId="9" fillId="0" borderId="82" xfId="58" applyFont="1" applyBorder="1" applyAlignment="1" applyProtection="1">
      <alignment horizontal="center" vertical="center"/>
      <protection/>
    </xf>
    <xf numFmtId="0" fontId="9" fillId="0" borderId="86" xfId="58" applyFont="1" applyBorder="1" applyAlignment="1" applyProtection="1">
      <alignment horizontal="center" vertical="center"/>
      <protection/>
    </xf>
    <xf numFmtId="0" fontId="6" fillId="0" borderId="0" xfId="59" applyBorder="1" applyAlignment="1">
      <alignment/>
      <protection/>
    </xf>
    <xf numFmtId="0" fontId="23" fillId="0" borderId="0" xfId="58" applyFont="1" applyProtection="1">
      <alignment/>
      <protection/>
    </xf>
    <xf numFmtId="0" fontId="6" fillId="0" borderId="0" xfId="58" applyFont="1" applyProtection="1">
      <alignment/>
      <protection/>
    </xf>
    <xf numFmtId="0" fontId="37" fillId="0" borderId="86" xfId="58" applyFont="1" applyFill="1" applyBorder="1" applyAlignment="1" applyProtection="1">
      <alignment horizontal="center" vertical="center"/>
      <protection/>
    </xf>
    <xf numFmtId="0" fontId="37" fillId="0" borderId="55" xfId="59" applyFont="1" applyFill="1" applyBorder="1" applyAlignment="1">
      <alignment horizontal="center"/>
      <protection/>
    </xf>
    <xf numFmtId="0" fontId="37" fillId="25" borderId="87" xfId="59" applyFont="1" applyFill="1" applyBorder="1" applyAlignment="1">
      <alignment horizontal="center"/>
      <protection/>
    </xf>
    <xf numFmtId="171" fontId="37" fillId="25" borderId="72" xfId="58" applyNumberFormat="1" applyFont="1" applyFill="1" applyBorder="1" applyAlignment="1" applyProtection="1">
      <alignment horizontal="center"/>
      <protection/>
    </xf>
    <xf numFmtId="0" fontId="37" fillId="25" borderId="72" xfId="58" applyFont="1" applyFill="1" applyBorder="1" applyAlignment="1" applyProtection="1">
      <alignment horizontal="center" vertical="center"/>
      <protection/>
    </xf>
    <xf numFmtId="0" fontId="37" fillId="25" borderId="72" xfId="58" applyFont="1" applyFill="1" applyBorder="1" applyAlignment="1" applyProtection="1">
      <alignment vertical="center"/>
      <protection/>
    </xf>
    <xf numFmtId="0" fontId="6" fillId="0" borderId="0" xfId="58" applyFont="1" applyFill="1" applyProtection="1">
      <alignment/>
      <protection/>
    </xf>
    <xf numFmtId="0" fontId="37" fillId="25" borderId="77" xfId="58" applyFont="1" applyFill="1" applyBorder="1" applyAlignment="1" applyProtection="1">
      <alignment vertical="center"/>
      <protection/>
    </xf>
    <xf numFmtId="0" fontId="51" fillId="0" borderId="0" xfId="58" applyFont="1" applyFill="1" applyProtection="1">
      <alignment/>
      <protection/>
    </xf>
    <xf numFmtId="0" fontId="6" fillId="26" borderId="37" xfId="59" applyFill="1" applyBorder="1" applyAlignment="1">
      <alignment/>
      <protection/>
    </xf>
    <xf numFmtId="0" fontId="6" fillId="0" borderId="0" xfId="59">
      <alignment/>
      <protection/>
    </xf>
    <xf numFmtId="0" fontId="6" fillId="0" borderId="11" xfId="59" applyBorder="1">
      <alignment/>
      <protection/>
    </xf>
    <xf numFmtId="0" fontId="6" fillId="0" borderId="56" xfId="59" applyBorder="1">
      <alignment/>
      <protection/>
    </xf>
    <xf numFmtId="0" fontId="37" fillId="0" borderId="0" xfId="58" applyFont="1" applyBorder="1" applyAlignment="1" applyProtection="1">
      <alignment horizontal="left" vertical="center"/>
      <protection/>
    </xf>
    <xf numFmtId="0" fontId="9" fillId="0" borderId="0" xfId="59" applyFont="1" applyFill="1">
      <alignment/>
      <protection/>
    </xf>
    <xf numFmtId="0" fontId="9" fillId="0" borderId="0" xfId="59" applyFont="1">
      <alignment/>
      <protection/>
    </xf>
    <xf numFmtId="0" fontId="37" fillId="0" borderId="0" xfId="58" applyFont="1" applyBorder="1" applyAlignment="1" applyProtection="1">
      <alignment horizontal="center" vertical="center"/>
      <protection/>
    </xf>
    <xf numFmtId="0" fontId="6" fillId="0" borderId="0" xfId="59" applyFill="1">
      <alignment/>
      <protection/>
    </xf>
    <xf numFmtId="0" fontId="23" fillId="0" borderId="0" xfId="58" applyFont="1" applyBorder="1" applyProtection="1">
      <alignment/>
      <protection/>
    </xf>
    <xf numFmtId="0" fontId="6" fillId="0" borderId="0" xfId="59" applyFont="1">
      <alignment/>
      <protection/>
    </xf>
    <xf numFmtId="0" fontId="23" fillId="0" borderId="0" xfId="58" applyFont="1" applyBorder="1" applyAlignment="1" applyProtection="1">
      <alignment horizontal="center" vertical="center"/>
      <protection/>
    </xf>
    <xf numFmtId="0" fontId="23" fillId="0" borderId="0" xfId="58" applyFont="1" applyFill="1" applyBorder="1" applyProtection="1">
      <alignment/>
      <protection/>
    </xf>
    <xf numFmtId="0" fontId="23" fillId="0" borderId="0" xfId="58" applyFont="1" applyFill="1" applyBorder="1" applyAlignment="1" applyProtection="1">
      <alignment horizontal="center" vertical="center"/>
      <protection/>
    </xf>
    <xf numFmtId="0" fontId="37" fillId="0" borderId="48" xfId="58" applyFont="1" applyFill="1" applyBorder="1" applyAlignment="1" applyProtection="1">
      <alignment horizontal="center"/>
      <protection/>
    </xf>
    <xf numFmtId="0" fontId="6" fillId="0" borderId="0" xfId="59" applyFont="1" applyFill="1">
      <alignment/>
      <protection/>
    </xf>
    <xf numFmtId="21" fontId="23" fillId="0" borderId="0" xfId="59" applyNumberFormat="1" applyFont="1" applyFill="1" applyBorder="1" applyAlignment="1">
      <alignment horizontal="center"/>
      <protection/>
    </xf>
    <xf numFmtId="0" fontId="37" fillId="0" borderId="35" xfId="58" applyFont="1" applyFill="1" applyBorder="1" applyAlignment="1" applyProtection="1">
      <alignment horizontal="center" vertical="top"/>
      <protection/>
    </xf>
    <xf numFmtId="0" fontId="37" fillId="0" borderId="0" xfId="58" applyFont="1" applyFill="1" applyBorder="1" applyAlignment="1" applyProtection="1">
      <alignment horizontal="center" vertical="center"/>
      <protection/>
    </xf>
    <xf numFmtId="0" fontId="37" fillId="0" borderId="0" xfId="58" applyFont="1" applyFill="1" applyBorder="1" applyProtection="1">
      <alignment/>
      <protection/>
    </xf>
    <xf numFmtId="0" fontId="37" fillId="0" borderId="77" xfId="58" applyFont="1" applyFill="1" applyBorder="1" applyAlignment="1" applyProtection="1">
      <alignment horizontal="center" vertical="center"/>
      <protection/>
    </xf>
    <xf numFmtId="0" fontId="37" fillId="0" borderId="11" xfId="58" applyFont="1" applyFill="1" applyBorder="1" applyAlignment="1" applyProtection="1">
      <alignment horizontal="center" vertical="center"/>
      <protection/>
    </xf>
    <xf numFmtId="0" fontId="6" fillId="0" borderId="0" xfId="58" applyFont="1" applyFill="1" applyBorder="1" applyProtection="1">
      <alignment/>
      <protection/>
    </xf>
    <xf numFmtId="174" fontId="6" fillId="0" borderId="0" xfId="59" applyNumberFormat="1" applyFill="1" applyBorder="1" applyAlignment="1">
      <alignment horizontal="center"/>
      <protection/>
    </xf>
    <xf numFmtId="0" fontId="37" fillId="0" borderId="69" xfId="58" applyFont="1" applyFill="1" applyBorder="1" applyAlignment="1" applyProtection="1">
      <alignment horizontal="center" vertical="center"/>
      <protection/>
    </xf>
    <xf numFmtId="0" fontId="6" fillId="0" borderId="0" xfId="58" applyFont="1" applyFill="1" applyBorder="1" applyProtection="1">
      <alignment/>
      <protection locked="0"/>
    </xf>
    <xf numFmtId="174" fontId="37" fillId="0" borderId="0" xfId="58" applyNumberFormat="1" applyFont="1" applyFill="1" applyBorder="1" applyAlignment="1" applyProtection="1">
      <alignment horizontal="center"/>
      <protection locked="0"/>
    </xf>
    <xf numFmtId="0" fontId="37" fillId="0" borderId="51" xfId="58" applyFont="1" applyFill="1" applyBorder="1" applyAlignment="1" applyProtection="1">
      <alignment horizontal="center" vertical="center"/>
      <protection/>
    </xf>
    <xf numFmtId="21" fontId="103" fillId="0" borderId="14" xfId="59" applyNumberFormat="1" applyFont="1" applyFill="1" applyBorder="1" applyAlignment="1">
      <alignment horizontal="center"/>
      <protection/>
    </xf>
    <xf numFmtId="21" fontId="103" fillId="27" borderId="14" xfId="59" applyNumberFormat="1" applyFont="1" applyFill="1" applyBorder="1" applyAlignment="1">
      <alignment horizontal="center"/>
      <protection/>
    </xf>
    <xf numFmtId="0" fontId="6" fillId="0" borderId="0" xfId="59" applyAlignment="1">
      <alignment/>
      <protection/>
    </xf>
    <xf numFmtId="0" fontId="6" fillId="0" borderId="0" xfId="59" applyFill="1" applyAlignment="1">
      <alignment/>
      <protection/>
    </xf>
    <xf numFmtId="0" fontId="6" fillId="0" borderId="0" xfId="59" applyFont="1" applyAlignment="1">
      <alignment/>
      <protection/>
    </xf>
    <xf numFmtId="0" fontId="6" fillId="0" borderId="0" xfId="59" applyFill="1" applyBorder="1" applyAlignment="1">
      <alignment/>
      <protection/>
    </xf>
    <xf numFmtId="0" fontId="37" fillId="0" borderId="0" xfId="58" applyFont="1" applyFill="1" applyBorder="1" applyAlignment="1" applyProtection="1">
      <alignment horizontal="right" vertical="center"/>
      <protection/>
    </xf>
    <xf numFmtId="21" fontId="55" fillId="0" borderId="0" xfId="58" applyNumberFormat="1" applyFont="1" applyFill="1" applyBorder="1" applyAlignment="1" applyProtection="1">
      <alignment horizontal="center" vertical="center"/>
      <protection/>
    </xf>
    <xf numFmtId="0" fontId="6" fillId="0" borderId="0" xfId="59" applyFill="1" applyBorder="1" applyAlignment="1">
      <alignment horizontal="center" vertical="center"/>
      <protection/>
    </xf>
    <xf numFmtId="46" fontId="37" fillId="0" borderId="0" xfId="58" applyNumberFormat="1" applyFont="1" applyFill="1" applyBorder="1" applyAlignment="1" applyProtection="1">
      <alignment horizontal="center" vertical="center"/>
      <protection/>
    </xf>
    <xf numFmtId="164" fontId="6" fillId="0" borderId="0" xfId="59" applyNumberFormat="1" applyFill="1" applyBorder="1" applyAlignment="1">
      <alignment vertical="center"/>
      <protection/>
    </xf>
    <xf numFmtId="0" fontId="6" fillId="0" borderId="0" xfId="58" applyFont="1" applyFill="1" applyBorder="1" applyAlignment="1" applyProtection="1">
      <alignment/>
      <protection/>
    </xf>
    <xf numFmtId="164" fontId="51" fillId="0" borderId="0" xfId="59" applyNumberFormat="1" applyFont="1" applyFill="1" applyBorder="1" applyAlignment="1" applyProtection="1">
      <alignment horizontal="center" vertical="center"/>
      <protection/>
    </xf>
    <xf numFmtId="164" fontId="6" fillId="0" borderId="0" xfId="59" applyNumberFormat="1" applyFill="1" applyBorder="1" applyAlignment="1">
      <alignment horizontal="center" vertical="center"/>
      <protection/>
    </xf>
    <xf numFmtId="1" fontId="0" fillId="0" borderId="0" xfId="59" applyNumberFormat="1" applyFont="1" applyFill="1" applyBorder="1" applyAlignment="1" applyProtection="1">
      <alignment/>
      <protection/>
    </xf>
    <xf numFmtId="1" fontId="37" fillId="0" borderId="0" xfId="58" applyNumberFormat="1" applyFont="1" applyFill="1" applyBorder="1" applyAlignment="1" applyProtection="1">
      <alignment horizontal="center" vertical="center"/>
      <protection/>
    </xf>
    <xf numFmtId="1" fontId="6" fillId="0" borderId="0" xfId="59" applyNumberFormat="1" applyFill="1" applyBorder="1" applyAlignment="1" applyProtection="1">
      <alignment horizontal="center"/>
      <protection/>
    </xf>
    <xf numFmtId="0" fontId="9" fillId="0" borderId="0" xfId="58" applyFont="1" applyFill="1" applyBorder="1" applyAlignment="1" applyProtection="1">
      <alignment horizontal="center"/>
      <protection/>
    </xf>
    <xf numFmtId="0" fontId="51" fillId="0" borderId="0" xfId="58" applyFont="1" applyFill="1" applyBorder="1" applyAlignment="1" applyProtection="1">
      <alignment vertical="center"/>
      <protection/>
    </xf>
    <xf numFmtId="0" fontId="9" fillId="0" borderId="0" xfId="58" applyFont="1" applyFill="1" applyBorder="1" applyAlignment="1" applyProtection="1">
      <alignment/>
      <protection/>
    </xf>
    <xf numFmtId="0" fontId="48" fillId="0" borderId="0" xfId="58" applyFont="1" applyFill="1" applyBorder="1" applyAlignment="1" applyProtection="1">
      <alignment/>
      <protection/>
    </xf>
    <xf numFmtId="164" fontId="6" fillId="0" borderId="0" xfId="59" applyNumberFormat="1" applyFill="1" applyBorder="1" applyAlignment="1">
      <alignment horizontal="center"/>
      <protection/>
    </xf>
    <xf numFmtId="164" fontId="6" fillId="0" borderId="0" xfId="59" applyNumberFormat="1" applyFill="1" applyBorder="1" applyAlignment="1">
      <alignment/>
      <protection/>
    </xf>
    <xf numFmtId="0" fontId="9" fillId="0" borderId="0" xfId="58" applyFont="1" applyFill="1" applyBorder="1" applyAlignment="1" applyProtection="1">
      <alignment vertical="center"/>
      <protection/>
    </xf>
    <xf numFmtId="164" fontId="6" fillId="0" borderId="0" xfId="59" applyNumberFormat="1" applyFill="1" applyBorder="1" applyAlignment="1">
      <alignment horizontal="right"/>
      <protection/>
    </xf>
    <xf numFmtId="0" fontId="6" fillId="0" borderId="0" xfId="58" applyFont="1" applyFill="1" applyBorder="1" applyAlignment="1" applyProtection="1">
      <alignment horizontal="left"/>
      <protection/>
    </xf>
    <xf numFmtId="0" fontId="52" fillId="0" borderId="0" xfId="58" applyFont="1" applyFill="1" applyBorder="1" applyAlignment="1" applyProtection="1">
      <alignment/>
      <protection/>
    </xf>
    <xf numFmtId="164" fontId="6" fillId="0" borderId="0" xfId="59" applyNumberFormat="1" applyFill="1" applyBorder="1" applyAlignment="1">
      <alignment horizontal="right" vertical="center"/>
      <protection/>
    </xf>
    <xf numFmtId="164" fontId="65" fillId="0" borderId="0" xfId="59" applyNumberFormat="1" applyFont="1" applyFill="1" applyBorder="1" applyAlignment="1">
      <alignment horizontal="center" vertical="center"/>
      <protection/>
    </xf>
    <xf numFmtId="0" fontId="6" fillId="0" borderId="0" xfId="58" applyFont="1" applyFill="1" applyBorder="1" applyAlignment="1" applyProtection="1">
      <alignment vertical="center"/>
      <protection/>
    </xf>
    <xf numFmtId="0" fontId="6" fillId="0" borderId="0" xfId="59" applyFill="1" applyBorder="1">
      <alignment/>
      <protection/>
    </xf>
    <xf numFmtId="0" fontId="6" fillId="0" borderId="0" xfId="59" applyBorder="1">
      <alignment/>
      <protection/>
    </xf>
    <xf numFmtId="0" fontId="37" fillId="0" borderId="38" xfId="58" applyFont="1" applyFill="1" applyBorder="1" applyAlignment="1" applyProtection="1">
      <alignment horizontal="left" vertical="center"/>
      <protection/>
    </xf>
    <xf numFmtId="0" fontId="61" fillId="0" borderId="85" xfId="59" applyFont="1" applyFill="1" applyBorder="1" applyAlignment="1">
      <alignment horizontal="left" vertical="center"/>
      <protection/>
    </xf>
    <xf numFmtId="172" fontId="63" fillId="28" borderId="47" xfId="59" applyNumberFormat="1" applyFont="1" applyFill="1" applyBorder="1" applyAlignment="1">
      <alignment horizontal="center" vertical="center"/>
      <protection/>
    </xf>
    <xf numFmtId="0" fontId="49" fillId="28" borderId="38" xfId="58" applyFont="1" applyFill="1" applyBorder="1" applyAlignment="1" applyProtection="1">
      <alignment horizontal="center" vertical="center"/>
      <protection/>
    </xf>
    <xf numFmtId="0" fontId="49" fillId="28" borderId="38" xfId="58" applyFont="1" applyFill="1" applyBorder="1" applyAlignment="1" applyProtection="1">
      <alignment horizontal="center" vertical="center"/>
      <protection locked="0"/>
    </xf>
    <xf numFmtId="1" fontId="49" fillId="28" borderId="38" xfId="58" applyNumberFormat="1" applyFont="1" applyFill="1" applyBorder="1" applyAlignment="1" applyProtection="1">
      <alignment horizontal="center" vertical="center"/>
      <protection locked="0"/>
    </xf>
    <xf numFmtId="0" fontId="49" fillId="28" borderId="85" xfId="58" applyFont="1" applyFill="1" applyBorder="1" applyAlignment="1" applyProtection="1">
      <alignment horizontal="center" vertical="center"/>
      <protection/>
    </xf>
    <xf numFmtId="1" fontId="47" fillId="29" borderId="38" xfId="58" applyNumberFormat="1" applyFont="1" applyFill="1" applyBorder="1" applyAlignment="1" applyProtection="1">
      <alignment horizontal="center" vertical="center"/>
      <protection/>
    </xf>
    <xf numFmtId="1" fontId="47" fillId="29" borderId="85" xfId="58" applyNumberFormat="1" applyFont="1" applyFill="1" applyBorder="1" applyAlignment="1" applyProtection="1">
      <alignment horizontal="center" vertical="center"/>
      <protection/>
    </xf>
    <xf numFmtId="1" fontId="63" fillId="29" borderId="55" xfId="58" applyNumberFormat="1" applyFont="1" applyFill="1" applyBorder="1" applyAlignment="1" applyProtection="1">
      <alignment horizontal="center"/>
      <protection/>
    </xf>
    <xf numFmtId="1" fontId="63" fillId="29" borderId="36" xfId="58" applyNumberFormat="1" applyFont="1" applyFill="1" applyBorder="1" applyAlignment="1" applyProtection="1">
      <alignment horizontal="center"/>
      <protection/>
    </xf>
    <xf numFmtId="164" fontId="25" fillId="0" borderId="0" xfId="0" applyFont="1" applyAlignment="1">
      <alignment/>
    </xf>
    <xf numFmtId="164" fontId="25" fillId="0" borderId="0" xfId="0" applyFont="1" applyAlignment="1" quotePrefix="1">
      <alignment/>
    </xf>
    <xf numFmtId="164" fontId="111" fillId="0" borderId="0" xfId="0" applyFont="1" applyAlignment="1">
      <alignment/>
    </xf>
    <xf numFmtId="0" fontId="37" fillId="0" borderId="11" xfId="59" applyFont="1" applyBorder="1" applyAlignment="1">
      <alignment horizontal="center" vertical="center"/>
      <protection/>
    </xf>
    <xf numFmtId="164" fontId="16" fillId="0" borderId="24" xfId="0" applyFont="1" applyFill="1" applyBorder="1" applyAlignment="1" applyProtection="1" quotePrefix="1">
      <alignment horizontal="center"/>
      <protection locked="0"/>
    </xf>
    <xf numFmtId="174" fontId="6" fillId="0" borderId="32" xfId="0" applyNumberFormat="1" applyFont="1" applyFill="1" applyBorder="1" applyAlignment="1" applyProtection="1">
      <alignment horizontal="left"/>
      <protection/>
    </xf>
    <xf numFmtId="0" fontId="6" fillId="0" borderId="40" xfId="58" applyFill="1" applyBorder="1" applyAlignment="1" applyProtection="1">
      <alignment horizontal="center" vertical="center"/>
      <protection/>
    </xf>
    <xf numFmtId="0" fontId="6" fillId="0" borderId="37" xfId="58" applyFill="1" applyBorder="1" applyAlignment="1" applyProtection="1">
      <alignment horizontal="center" vertical="center"/>
      <protection/>
    </xf>
    <xf numFmtId="164" fontId="9" fillId="0" borderId="60" xfId="0" applyFont="1" applyBorder="1" applyAlignment="1" applyProtection="1">
      <alignment horizontal="left"/>
      <protection/>
    </xf>
    <xf numFmtId="164" fontId="48" fillId="0" borderId="54" xfId="0" applyFont="1" applyBorder="1" applyAlignment="1" applyProtection="1">
      <alignment/>
      <protection/>
    </xf>
    <xf numFmtId="164" fontId="118" fillId="0" borderId="0" xfId="0" applyFont="1" applyAlignment="1">
      <alignment/>
    </xf>
    <xf numFmtId="164" fontId="118" fillId="0" borderId="0" xfId="0" applyFont="1" applyAlignment="1" quotePrefix="1">
      <alignment/>
    </xf>
    <xf numFmtId="164" fontId="35" fillId="0" borderId="0" xfId="0" applyFont="1" applyAlignment="1">
      <alignment/>
    </xf>
    <xf numFmtId="45" fontId="39" fillId="0" borderId="15" xfId="0" applyNumberFormat="1" applyFont="1" applyFill="1" applyBorder="1" applyAlignment="1" applyProtection="1">
      <alignment/>
      <protection/>
    </xf>
    <xf numFmtId="165" fontId="9" fillId="0" borderId="38" xfId="0" applyNumberFormat="1" applyFont="1" applyFill="1" applyBorder="1" applyAlignment="1" applyProtection="1">
      <alignment/>
      <protection/>
    </xf>
    <xf numFmtId="164" fontId="6" fillId="0" borderId="38" xfId="0" applyFont="1" applyFill="1" applyBorder="1" applyAlignment="1" applyProtection="1">
      <alignment horizontal="center"/>
      <protection/>
    </xf>
    <xf numFmtId="164" fontId="6" fillId="0" borderId="17" xfId="0" applyFont="1" applyFill="1" applyBorder="1" applyAlignment="1" applyProtection="1">
      <alignment horizontal="left"/>
      <protection/>
    </xf>
    <xf numFmtId="167" fontId="14" fillId="0" borderId="61" xfId="0" applyNumberFormat="1" applyFont="1" applyFill="1" applyBorder="1" applyAlignment="1" applyProtection="1">
      <alignment/>
      <protection/>
    </xf>
    <xf numFmtId="164" fontId="6" fillId="0" borderId="16" xfId="0" applyFont="1" applyFill="1" applyBorder="1" applyAlignment="1" applyProtection="1">
      <alignment horizontal="left"/>
      <protection/>
    </xf>
    <xf numFmtId="167" fontId="14" fillId="0" borderId="63" xfId="0" applyNumberFormat="1" applyFont="1" applyFill="1" applyBorder="1" applyAlignment="1" applyProtection="1">
      <alignment/>
      <protection/>
    </xf>
    <xf numFmtId="164" fontId="6" fillId="0" borderId="17" xfId="0" applyFont="1" applyFill="1" applyBorder="1" applyAlignment="1" applyProtection="1">
      <alignment horizontal="center"/>
      <protection/>
    </xf>
    <xf numFmtId="164" fontId="15" fillId="0" borderId="73" xfId="0" applyFont="1" applyBorder="1" applyAlignment="1" applyProtection="1">
      <alignment/>
      <protection/>
    </xf>
    <xf numFmtId="164" fontId="15" fillId="0" borderId="58" xfId="0" applyFont="1" applyBorder="1" applyAlignment="1" applyProtection="1">
      <alignment/>
      <protection/>
    </xf>
    <xf numFmtId="164" fontId="6" fillId="0" borderId="87" xfId="0" applyFont="1" applyBorder="1" applyAlignment="1" applyProtection="1">
      <alignment horizontal="center"/>
      <protection/>
    </xf>
    <xf numFmtId="164" fontId="15" fillId="0" borderId="68" xfId="0" applyFont="1" applyBorder="1" applyAlignment="1" applyProtection="1">
      <alignment horizontal="center"/>
      <protection/>
    </xf>
    <xf numFmtId="164" fontId="48" fillId="0" borderId="33" xfId="0" applyFont="1" applyBorder="1" applyAlignment="1" applyProtection="1">
      <alignment/>
      <protection/>
    </xf>
    <xf numFmtId="164" fontId="132" fillId="22" borderId="37" xfId="0" applyFont="1" applyFill="1" applyBorder="1" applyAlignment="1" applyProtection="1">
      <alignment/>
      <protection locked="0"/>
    </xf>
    <xf numFmtId="164" fontId="132" fillId="22" borderId="13" xfId="0" applyFont="1" applyFill="1" applyBorder="1" applyAlignment="1" applyProtection="1">
      <alignment/>
      <protection locked="0"/>
    </xf>
    <xf numFmtId="164" fontId="133" fillId="22" borderId="0" xfId="0" applyFont="1" applyFill="1" applyAlignment="1" applyProtection="1">
      <alignment/>
      <protection/>
    </xf>
    <xf numFmtId="164" fontId="134" fillId="22" borderId="0" xfId="0" applyFont="1" applyFill="1" applyAlignment="1" applyProtection="1">
      <alignment horizontal="center"/>
      <protection locked="0"/>
    </xf>
    <xf numFmtId="164" fontId="134" fillId="22" borderId="15" xfId="0" applyFont="1" applyFill="1" applyBorder="1" applyAlignment="1" applyProtection="1">
      <alignment horizontal="left"/>
      <protection locked="0"/>
    </xf>
    <xf numFmtId="164" fontId="134" fillId="22" borderId="15" xfId="0" applyFont="1" applyFill="1" applyBorder="1" applyAlignment="1">
      <alignment/>
    </xf>
    <xf numFmtId="164" fontId="134" fillId="22" borderId="24" xfId="0" applyFont="1" applyFill="1" applyBorder="1" applyAlignment="1" applyProtection="1">
      <alignment/>
      <protection locked="0"/>
    </xf>
    <xf numFmtId="164" fontId="135" fillId="22" borderId="15" xfId="54" applyNumberFormat="1" applyFont="1" applyFill="1" applyBorder="1" applyAlignment="1" applyProtection="1">
      <alignment/>
      <protection locked="0"/>
    </xf>
    <xf numFmtId="164" fontId="136" fillId="22" borderId="54" xfId="0" applyFont="1" applyFill="1" applyBorder="1" applyAlignment="1">
      <alignment horizontal="right"/>
    </xf>
    <xf numFmtId="164" fontId="134" fillId="22" borderId="55" xfId="0" applyFont="1" applyFill="1" applyBorder="1" applyAlignment="1" applyProtection="1">
      <alignment/>
      <protection locked="0"/>
    </xf>
    <xf numFmtId="164" fontId="134" fillId="22" borderId="0" xfId="0" applyFont="1" applyFill="1" applyBorder="1" applyAlignment="1" applyProtection="1">
      <alignment horizontal="left"/>
      <protection locked="0"/>
    </xf>
    <xf numFmtId="165" fontId="134" fillId="22" borderId="0" xfId="0" applyNumberFormat="1" applyFont="1" applyFill="1" applyAlignment="1" applyProtection="1">
      <alignment horizontal="center"/>
      <protection locked="0"/>
    </xf>
    <xf numFmtId="1" fontId="134" fillId="22" borderId="23" xfId="0" applyNumberFormat="1" applyFont="1" applyFill="1" applyBorder="1" applyAlignment="1" applyProtection="1">
      <alignment horizontal="center"/>
      <protection locked="0"/>
    </xf>
    <xf numFmtId="1" fontId="134" fillId="22" borderId="60" xfId="0" applyNumberFormat="1" applyFont="1" applyFill="1" applyBorder="1" applyAlignment="1" applyProtection="1">
      <alignment horizontal="center"/>
      <protection locked="0"/>
    </xf>
    <xf numFmtId="164" fontId="134" fillId="22" borderId="56" xfId="0" applyFont="1" applyFill="1" applyBorder="1" applyAlignment="1" applyProtection="1">
      <alignment horizontal="center"/>
      <protection locked="0"/>
    </xf>
    <xf numFmtId="164" fontId="133" fillId="22" borderId="14" xfId="0" applyFont="1" applyFill="1" applyBorder="1" applyAlignment="1" applyProtection="1">
      <alignment/>
      <protection locked="0"/>
    </xf>
    <xf numFmtId="164" fontId="134" fillId="22" borderId="0" xfId="0" applyFont="1" applyFill="1" applyAlignment="1" applyProtection="1">
      <alignment/>
      <protection locked="0"/>
    </xf>
    <xf numFmtId="164" fontId="133" fillId="30" borderId="40" xfId="0" applyFont="1" applyFill="1" applyBorder="1" applyAlignment="1" applyProtection="1">
      <alignment horizontal="right"/>
      <protection/>
    </xf>
    <xf numFmtId="164" fontId="133" fillId="30" borderId="36" xfId="0" applyFont="1" applyFill="1" applyBorder="1" applyAlignment="1" applyProtection="1">
      <alignment/>
      <protection locked="0"/>
    </xf>
    <xf numFmtId="164" fontId="137" fillId="30" borderId="54" xfId="0" applyFont="1" applyFill="1" applyBorder="1" applyAlignment="1" applyProtection="1">
      <alignment/>
      <protection locked="0"/>
    </xf>
    <xf numFmtId="164" fontId="138" fillId="30" borderId="37" xfId="0" applyFont="1" applyFill="1" applyBorder="1" applyAlignment="1" applyProtection="1">
      <alignment/>
      <protection locked="0"/>
    </xf>
    <xf numFmtId="164" fontId="138" fillId="30" borderId="36" xfId="0" applyFont="1" applyFill="1" applyBorder="1" applyAlignment="1" applyProtection="1">
      <alignment/>
      <protection locked="0"/>
    </xf>
    <xf numFmtId="164" fontId="139" fillId="30" borderId="40" xfId="0" applyFont="1" applyFill="1" applyBorder="1" applyAlignment="1" applyProtection="1">
      <alignment/>
      <protection locked="0"/>
    </xf>
    <xf numFmtId="164" fontId="133" fillId="30" borderId="12" xfId="0" applyFont="1" applyFill="1" applyBorder="1" applyAlignment="1" applyProtection="1">
      <alignment/>
      <protection locked="0"/>
    </xf>
    <xf numFmtId="164" fontId="134" fillId="22" borderId="47" xfId="0" applyFont="1" applyFill="1" applyBorder="1" applyAlignment="1" applyProtection="1">
      <alignment/>
      <protection locked="0"/>
    </xf>
    <xf numFmtId="164" fontId="134" fillId="22" borderId="13" xfId="0" applyFont="1" applyFill="1" applyBorder="1" applyAlignment="1" applyProtection="1">
      <alignment/>
      <protection locked="0"/>
    </xf>
    <xf numFmtId="164" fontId="133" fillId="0" borderId="0" xfId="0" applyFont="1" applyAlignment="1" applyProtection="1">
      <alignment horizontal="right"/>
      <protection/>
    </xf>
    <xf numFmtId="164" fontId="133" fillId="22" borderId="0" xfId="0" applyFont="1" applyFill="1" applyAlignment="1" applyProtection="1">
      <alignment horizontal="right"/>
      <protection locked="0"/>
    </xf>
    <xf numFmtId="164" fontId="134" fillId="22" borderId="19" xfId="0" applyFont="1" applyFill="1" applyBorder="1" applyAlignment="1" applyProtection="1">
      <alignment horizontal="right"/>
      <protection locked="0"/>
    </xf>
    <xf numFmtId="164" fontId="133" fillId="22" borderId="15" xfId="0" applyFont="1" applyFill="1" applyBorder="1" applyAlignment="1" applyProtection="1">
      <alignment horizontal="right"/>
      <protection locked="0"/>
    </xf>
    <xf numFmtId="164" fontId="133" fillId="22" borderId="24" xfId="0" applyFont="1" applyFill="1" applyBorder="1" applyAlignment="1" applyProtection="1">
      <alignment horizontal="right"/>
      <protection locked="0"/>
    </xf>
    <xf numFmtId="164" fontId="133" fillId="22" borderId="0" xfId="0" applyFont="1" applyFill="1" applyBorder="1" applyAlignment="1" applyProtection="1">
      <alignment horizontal="right"/>
      <protection locked="0"/>
    </xf>
    <xf numFmtId="164" fontId="133" fillId="22" borderId="27" xfId="0" applyFont="1" applyFill="1" applyBorder="1" applyAlignment="1" applyProtection="1" quotePrefix="1">
      <alignment horizontal="right"/>
      <protection locked="0"/>
    </xf>
    <xf numFmtId="172" fontId="137" fillId="31" borderId="15" xfId="0" applyNumberFormat="1" applyFont="1" applyFill="1" applyBorder="1" applyAlignment="1">
      <alignment horizontal="center"/>
    </xf>
    <xf numFmtId="165" fontId="134" fillId="22" borderId="15" xfId="0" applyNumberFormat="1" applyFont="1" applyFill="1" applyBorder="1" applyAlignment="1" applyProtection="1">
      <alignment/>
      <protection locked="0"/>
    </xf>
    <xf numFmtId="164" fontId="138" fillId="22" borderId="23" xfId="0" applyFont="1" applyFill="1" applyBorder="1" applyAlignment="1" applyProtection="1">
      <alignment/>
      <protection locked="0"/>
    </xf>
    <xf numFmtId="164" fontId="138" fillId="22" borderId="19" xfId="0" applyFont="1" applyFill="1" applyBorder="1" applyAlignment="1" applyProtection="1">
      <alignment/>
      <protection locked="0"/>
    </xf>
    <xf numFmtId="164" fontId="140" fillId="22" borderId="62" xfId="0" applyFont="1" applyFill="1" applyBorder="1" applyAlignment="1" applyProtection="1">
      <alignment/>
      <protection locked="0"/>
    </xf>
    <xf numFmtId="49" fontId="140" fillId="22" borderId="14" xfId="0" applyNumberFormat="1" applyFont="1" applyFill="1" applyBorder="1" applyAlignment="1" applyProtection="1">
      <alignment/>
      <protection locked="0"/>
    </xf>
    <xf numFmtId="164" fontId="133" fillId="22" borderId="60" xfId="0" applyFont="1" applyFill="1" applyBorder="1" applyAlignment="1" applyProtection="1">
      <alignment horizontal="right"/>
      <protection locked="0"/>
    </xf>
    <xf numFmtId="164" fontId="133" fillId="22" borderId="0" xfId="0" applyFont="1" applyFill="1" applyBorder="1" applyAlignment="1" applyProtection="1">
      <alignment horizontal="center"/>
      <protection locked="0"/>
    </xf>
    <xf numFmtId="164" fontId="133" fillId="22" borderId="23" xfId="0" applyFont="1" applyFill="1" applyBorder="1" applyAlignment="1" applyProtection="1">
      <alignment horizontal="center"/>
      <protection locked="0"/>
    </xf>
    <xf numFmtId="164" fontId="134" fillId="22" borderId="38" xfId="0" applyFont="1" applyFill="1" applyBorder="1" applyAlignment="1" applyProtection="1">
      <alignment horizontal="right"/>
      <protection locked="0"/>
    </xf>
    <xf numFmtId="164" fontId="133" fillId="22" borderId="24" xfId="0" applyFont="1" applyFill="1" applyBorder="1" applyAlignment="1" applyProtection="1">
      <alignment/>
      <protection locked="0"/>
    </xf>
    <xf numFmtId="164" fontId="133" fillId="22" borderId="38" xfId="0" applyFont="1" applyFill="1" applyBorder="1" applyAlignment="1" applyProtection="1">
      <alignment horizontal="right"/>
      <protection locked="0"/>
    </xf>
    <xf numFmtId="164" fontId="133" fillId="22" borderId="0" xfId="0" applyFont="1" applyFill="1" applyBorder="1" applyAlignment="1" applyProtection="1">
      <alignment/>
      <protection locked="0"/>
    </xf>
    <xf numFmtId="164" fontId="133" fillId="22" borderId="19" xfId="0" applyFont="1" applyFill="1" applyBorder="1" applyAlignment="1" applyProtection="1">
      <alignment horizontal="right"/>
      <protection locked="0"/>
    </xf>
    <xf numFmtId="164" fontId="133" fillId="22" borderId="15" xfId="0" applyFont="1" applyFill="1" applyBorder="1" applyAlignment="1" applyProtection="1">
      <alignment horizontal="center"/>
      <protection locked="0"/>
    </xf>
    <xf numFmtId="164" fontId="134" fillId="22" borderId="60" xfId="0" applyFont="1" applyFill="1" applyBorder="1" applyAlignment="1" applyProtection="1">
      <alignment horizontal="right"/>
      <protection locked="0"/>
    </xf>
    <xf numFmtId="49" fontId="140" fillId="0" borderId="38" xfId="0" applyNumberFormat="1" applyFont="1" applyFill="1" applyBorder="1" applyAlignment="1" applyProtection="1">
      <alignment horizontal="left"/>
      <protection/>
    </xf>
    <xf numFmtId="49" fontId="140" fillId="0" borderId="32" xfId="0" applyNumberFormat="1" applyFont="1" applyFill="1" applyBorder="1" applyAlignment="1" applyProtection="1">
      <alignment horizontal="left"/>
      <protection/>
    </xf>
    <xf numFmtId="164" fontId="140" fillId="0" borderId="69" xfId="0" applyFont="1" applyFill="1" applyBorder="1" applyAlignment="1" applyProtection="1">
      <alignment horizontal="left"/>
      <protection/>
    </xf>
    <xf numFmtId="49" fontId="140" fillId="0" borderId="72" xfId="0" applyNumberFormat="1" applyFont="1" applyFill="1" applyBorder="1" applyAlignment="1" applyProtection="1">
      <alignment horizontal="left"/>
      <protection/>
    </xf>
    <xf numFmtId="164" fontId="133" fillId="0" borderId="17" xfId="0" applyFont="1" applyFill="1" applyBorder="1" applyAlignment="1" applyProtection="1">
      <alignment/>
      <protection/>
    </xf>
    <xf numFmtId="164" fontId="140" fillId="32" borderId="66" xfId="0" applyFont="1" applyFill="1" applyBorder="1" applyAlignment="1" applyProtection="1">
      <alignment horizontal="left"/>
      <protection/>
    </xf>
    <xf numFmtId="49" fontId="140" fillId="32" borderId="88" xfId="0" applyNumberFormat="1" applyFont="1" applyFill="1" applyBorder="1" applyAlignment="1" applyProtection="1">
      <alignment horizontal="left"/>
      <protection/>
    </xf>
    <xf numFmtId="165" fontId="133" fillId="22" borderId="0" xfId="0" applyNumberFormat="1" applyFont="1" applyFill="1" applyAlignment="1" applyProtection="1">
      <alignment/>
      <protection locked="0"/>
    </xf>
    <xf numFmtId="0" fontId="15" fillId="0" borderId="74" xfId="0" applyNumberFormat="1" applyFont="1" applyBorder="1" applyAlignment="1" applyProtection="1">
      <alignment horizontal="right"/>
      <protection/>
    </xf>
    <xf numFmtId="164" fontId="0" fillId="0" borderId="29" xfId="0" applyBorder="1" applyAlignment="1">
      <alignment horizontal="right"/>
    </xf>
    <xf numFmtId="164" fontId="0" fillId="0" borderId="18" xfId="0" applyBorder="1" applyAlignment="1">
      <alignment horizontal="right"/>
    </xf>
    <xf numFmtId="164" fontId="15" fillId="0" borderId="73" xfId="0" applyFont="1" applyBorder="1" applyAlignment="1" applyProtection="1">
      <alignment horizontal="left"/>
      <protection/>
    </xf>
    <xf numFmtId="164" fontId="0" fillId="0" borderId="28" xfId="0" applyBorder="1" applyAlignment="1">
      <alignment horizontal="left"/>
    </xf>
    <xf numFmtId="164" fontId="0" fillId="0" borderId="61" xfId="0" applyBorder="1" applyAlignment="1">
      <alignment horizontal="left"/>
    </xf>
    <xf numFmtId="0" fontId="6" fillId="28" borderId="26" xfId="59" applyFill="1" applyBorder="1" applyAlignment="1">
      <alignment/>
      <protection/>
    </xf>
    <xf numFmtId="0" fontId="6" fillId="28" borderId="27" xfId="59" applyFill="1" applyBorder="1" applyAlignment="1">
      <alignment/>
      <protection/>
    </xf>
    <xf numFmtId="0" fontId="37" fillId="29" borderId="70" xfId="58" applyFont="1" applyFill="1" applyBorder="1" applyAlignment="1" applyProtection="1">
      <alignment vertical="center"/>
      <protection/>
    </xf>
    <xf numFmtId="0" fontId="6" fillId="29" borderId="45" xfId="59" applyFill="1" applyBorder="1" applyAlignment="1">
      <alignment vertical="center"/>
      <protection/>
    </xf>
    <xf numFmtId="0" fontId="37" fillId="29" borderId="89" xfId="58" applyFont="1" applyFill="1" applyBorder="1" applyAlignment="1" applyProtection="1">
      <alignment vertical="center"/>
      <protection/>
    </xf>
    <xf numFmtId="0" fontId="6" fillId="29" borderId="90" xfId="59" applyFill="1" applyBorder="1" applyAlignment="1">
      <alignment vertical="center"/>
      <protection/>
    </xf>
    <xf numFmtId="0" fontId="37" fillId="0" borderId="86" xfId="58" applyFont="1" applyFill="1" applyBorder="1" applyAlignment="1" applyProtection="1">
      <alignment vertical="center"/>
      <protection/>
    </xf>
    <xf numFmtId="0" fontId="6" fillId="0" borderId="85" xfId="59" applyBorder="1" applyAlignment="1">
      <alignment vertical="center"/>
      <protection/>
    </xf>
    <xf numFmtId="0" fontId="37" fillId="29" borderId="85" xfId="58" applyFont="1" applyFill="1" applyBorder="1" applyAlignment="1" applyProtection="1">
      <alignment horizontal="right" vertical="center"/>
      <protection/>
    </xf>
    <xf numFmtId="0" fontId="96" fillId="0" borderId="25" xfId="58" applyFont="1" applyFill="1" applyBorder="1" applyAlignment="1" applyProtection="1">
      <alignment horizontal="center" vertical="center"/>
      <protection/>
    </xf>
    <xf numFmtId="0" fontId="14" fillId="0" borderId="26" xfId="59" applyFont="1" applyBorder="1" applyAlignment="1">
      <alignment horizontal="center" vertical="center"/>
      <protection/>
    </xf>
    <xf numFmtId="0" fontId="37" fillId="0" borderId="70" xfId="58" applyFont="1" applyFill="1" applyBorder="1" applyAlignment="1" applyProtection="1">
      <alignment horizontal="right" vertical="center" wrapText="1"/>
      <protection/>
    </xf>
    <xf numFmtId="164" fontId="0" fillId="0" borderId="44" xfId="0" applyBorder="1" applyAlignment="1">
      <alignment horizontal="right" vertical="center" wrapText="1"/>
    </xf>
    <xf numFmtId="164" fontId="0" fillId="0" borderId="83" xfId="0" applyBorder="1" applyAlignment="1">
      <alignment horizontal="right" vertical="center" wrapText="1"/>
    </xf>
    <xf numFmtId="0" fontId="37" fillId="0" borderId="43" xfId="58" applyFont="1" applyFill="1" applyBorder="1" applyAlignment="1" applyProtection="1">
      <alignment vertical="center"/>
      <protection/>
    </xf>
    <xf numFmtId="0" fontId="37" fillId="0" borderId="44" xfId="58" applyFont="1" applyFill="1" applyBorder="1" applyAlignment="1" applyProtection="1">
      <alignment vertical="center"/>
      <protection/>
    </xf>
    <xf numFmtId="164" fontId="0" fillId="0" borderId="83" xfId="0" applyBorder="1" applyAlignment="1">
      <alignment vertical="center"/>
    </xf>
    <xf numFmtId="0" fontId="93" fillId="0" borderId="32" xfId="58" applyFont="1" applyFill="1" applyBorder="1" applyAlignment="1" applyProtection="1">
      <alignment horizontal="right" vertical="center"/>
      <protection/>
    </xf>
    <xf numFmtId="0" fontId="94" fillId="0" borderId="16" xfId="59" applyFont="1" applyFill="1" applyBorder="1" applyAlignment="1">
      <alignment horizontal="right" vertical="center"/>
      <protection/>
    </xf>
    <xf numFmtId="0" fontId="37" fillId="0" borderId="91" xfId="58" applyFont="1" applyFill="1" applyBorder="1" applyAlignment="1" applyProtection="1">
      <alignment horizontal="right" vertical="center"/>
      <protection/>
    </xf>
    <xf numFmtId="0" fontId="9" fillId="0" borderId="19" xfId="59" applyFont="1" applyFill="1" applyBorder="1" applyAlignment="1">
      <alignment horizontal="right" vertical="center"/>
      <protection/>
    </xf>
    <xf numFmtId="0" fontId="6" fillId="0" borderId="19" xfId="59" applyFill="1" applyBorder="1" applyAlignment="1">
      <alignment horizontal="right" vertical="center"/>
      <protection/>
    </xf>
    <xf numFmtId="0" fontId="6" fillId="0" borderId="74" xfId="59" applyFill="1" applyBorder="1" applyAlignment="1">
      <alignment horizontal="right" vertical="center"/>
      <protection/>
    </xf>
    <xf numFmtId="0" fontId="37" fillId="0" borderId="40" xfId="58" applyFont="1" applyFill="1" applyBorder="1" applyAlignment="1" applyProtection="1">
      <alignment horizontal="center" vertical="center"/>
      <protection/>
    </xf>
    <xf numFmtId="0" fontId="37" fillId="0" borderId="81" xfId="59" applyFont="1" applyFill="1" applyBorder="1" applyAlignment="1">
      <alignment horizontal="center" vertical="center"/>
      <protection/>
    </xf>
    <xf numFmtId="0" fontId="37" fillId="0" borderId="82" xfId="58" applyFont="1" applyFill="1" applyBorder="1" applyAlignment="1" applyProtection="1">
      <alignment horizontal="center" vertical="center"/>
      <protection/>
    </xf>
    <xf numFmtId="0" fontId="37" fillId="0" borderId="38" xfId="59" applyFont="1" applyFill="1" applyBorder="1" applyAlignment="1">
      <alignment horizontal="center" vertical="center"/>
      <protection/>
    </xf>
    <xf numFmtId="172" fontId="63" fillId="28" borderId="38" xfId="58" applyNumberFormat="1" applyFont="1" applyFill="1" applyBorder="1" applyAlignment="1" applyProtection="1">
      <alignment horizontal="center" vertical="center"/>
      <protection/>
    </xf>
    <xf numFmtId="172" fontId="63" fillId="28" borderId="38" xfId="59" applyNumberFormat="1" applyFont="1" applyFill="1" applyBorder="1" applyAlignment="1">
      <alignment horizontal="center" vertical="center"/>
      <protection/>
    </xf>
    <xf numFmtId="0" fontId="37" fillId="28" borderId="32" xfId="58" applyFont="1" applyFill="1" applyBorder="1" applyAlignment="1" applyProtection="1">
      <alignment horizontal="left" vertical="center"/>
      <protection/>
    </xf>
    <xf numFmtId="0" fontId="37" fillId="28" borderId="16" xfId="58" applyFont="1" applyFill="1" applyBorder="1" applyAlignment="1" applyProtection="1">
      <alignment horizontal="left" vertical="center"/>
      <protection/>
    </xf>
    <xf numFmtId="0" fontId="37" fillId="28" borderId="17" xfId="58" applyFont="1" applyFill="1" applyBorder="1" applyAlignment="1" applyProtection="1">
      <alignment horizontal="left" vertical="center"/>
      <protection/>
    </xf>
    <xf numFmtId="0" fontId="61" fillId="0" borderId="32" xfId="58" applyFont="1" applyFill="1" applyBorder="1" applyAlignment="1" applyProtection="1">
      <alignment horizontal="right" vertical="center"/>
      <protection/>
    </xf>
    <xf numFmtId="0" fontId="14" fillId="0" borderId="16" xfId="59" applyFont="1" applyFill="1" applyBorder="1" applyAlignment="1">
      <alignment horizontal="right" vertical="center"/>
      <protection/>
    </xf>
    <xf numFmtId="172" fontId="63" fillId="28" borderId="85" xfId="58" applyNumberFormat="1" applyFont="1" applyFill="1" applyBorder="1" applyAlignment="1" applyProtection="1">
      <alignment horizontal="center" vertical="center"/>
      <protection/>
    </xf>
    <xf numFmtId="172" fontId="63" fillId="28" borderId="85" xfId="59" applyNumberFormat="1" applyFont="1" applyFill="1" applyBorder="1" applyAlignment="1">
      <alignment horizontal="center" vertical="center"/>
      <protection/>
    </xf>
    <xf numFmtId="172" fontId="63" fillId="28" borderId="23" xfId="58" applyNumberFormat="1" applyFont="1" applyFill="1" applyBorder="1" applyAlignment="1" applyProtection="1">
      <alignment horizontal="center" vertical="center"/>
      <protection/>
    </xf>
    <xf numFmtId="172" fontId="63" fillId="28" borderId="23" xfId="59" applyNumberFormat="1" applyFont="1" applyFill="1" applyBorder="1" applyAlignment="1">
      <alignment horizontal="center" vertical="center"/>
      <protection/>
    </xf>
    <xf numFmtId="0" fontId="61" fillId="0" borderId="64" xfId="58" applyFont="1" applyFill="1" applyBorder="1" applyAlignment="1" applyProtection="1">
      <alignment horizontal="right" vertical="center"/>
      <protection/>
    </xf>
    <xf numFmtId="0" fontId="61" fillId="0" borderId="65" xfId="59" applyFont="1" applyBorder="1" applyAlignment="1">
      <alignment horizontal="right"/>
      <protection/>
    </xf>
    <xf numFmtId="0" fontId="61" fillId="0" borderId="70" xfId="59" applyFont="1" applyBorder="1" applyAlignment="1">
      <alignment horizontal="right"/>
      <protection/>
    </xf>
    <xf numFmtId="46" fontId="63" fillId="28" borderId="40" xfId="58" applyNumberFormat="1" applyFont="1" applyFill="1" applyBorder="1" applyAlignment="1" applyProtection="1">
      <alignment horizontal="center" vertical="center"/>
      <protection/>
    </xf>
    <xf numFmtId="0" fontId="64" fillId="28" borderId="37" xfId="59" applyFont="1" applyFill="1" applyBorder="1" applyAlignment="1">
      <alignment vertical="center"/>
      <protection/>
    </xf>
    <xf numFmtId="0" fontId="64" fillId="28" borderId="47" xfId="59" applyFont="1" applyFill="1" applyBorder="1" applyAlignment="1">
      <alignment vertical="center"/>
      <protection/>
    </xf>
    <xf numFmtId="172" fontId="63" fillId="28" borderId="54" xfId="58" applyNumberFormat="1" applyFont="1" applyFill="1" applyBorder="1" applyAlignment="1" applyProtection="1">
      <alignment horizontal="center" vertical="center"/>
      <protection/>
    </xf>
    <xf numFmtId="172" fontId="63" fillId="28" borderId="57" xfId="59" applyNumberFormat="1" applyFont="1" applyFill="1" applyBorder="1" applyAlignment="1">
      <alignment horizontal="center" vertical="center"/>
      <protection/>
    </xf>
    <xf numFmtId="172" fontId="63" fillId="28" borderId="55" xfId="59" applyNumberFormat="1" applyFont="1" applyFill="1" applyBorder="1" applyAlignment="1">
      <alignment horizontal="center" vertical="center"/>
      <protection/>
    </xf>
    <xf numFmtId="1" fontId="51" fillId="0" borderId="13" xfId="58" applyNumberFormat="1" applyFont="1" applyFill="1" applyBorder="1" applyAlignment="1" applyProtection="1">
      <alignment horizontal="center" vertical="center"/>
      <protection locked="0"/>
    </xf>
    <xf numFmtId="0" fontId="6" fillId="0" borderId="0" xfId="59" applyBorder="1" applyAlignment="1">
      <alignment horizontal="center" vertical="center"/>
      <protection/>
    </xf>
    <xf numFmtId="0" fontId="6" fillId="0" borderId="14" xfId="59" applyBorder="1" applyAlignment="1">
      <alignment horizontal="center" vertical="center"/>
      <protection/>
    </xf>
    <xf numFmtId="0" fontId="63" fillId="29" borderId="54" xfId="58" applyFont="1" applyFill="1" applyBorder="1" applyAlignment="1" applyProtection="1">
      <alignment horizontal="center" vertical="center"/>
      <protection/>
    </xf>
    <xf numFmtId="0" fontId="63" fillId="29" borderId="57" xfId="59" applyFont="1" applyFill="1" applyBorder="1" applyAlignment="1">
      <alignment horizontal="center" vertical="center"/>
      <protection/>
    </xf>
    <xf numFmtId="0" fontId="63" fillId="29" borderId="55" xfId="59" applyFont="1" applyFill="1" applyBorder="1" applyAlignment="1">
      <alignment horizontal="center" vertical="center"/>
      <protection/>
    </xf>
    <xf numFmtId="191" fontId="63" fillId="28" borderId="32" xfId="58" applyNumberFormat="1" applyFont="1" applyFill="1" applyBorder="1" applyAlignment="1" applyProtection="1">
      <alignment horizontal="center" vertical="center"/>
      <protection locked="0"/>
    </xf>
    <xf numFmtId="191" fontId="64" fillId="28" borderId="16" xfId="59" applyNumberFormat="1" applyFont="1" applyFill="1" applyBorder="1" applyAlignment="1">
      <alignment vertical="center"/>
      <protection/>
    </xf>
    <xf numFmtId="191" fontId="64" fillId="28" borderId="92" xfId="59" applyNumberFormat="1" applyFont="1" applyFill="1" applyBorder="1" applyAlignment="1">
      <alignment vertical="center"/>
      <protection/>
    </xf>
    <xf numFmtId="164" fontId="50" fillId="29" borderId="24" xfId="58" applyNumberFormat="1" applyFont="1" applyFill="1" applyBorder="1" applyAlignment="1" applyProtection="1">
      <alignment horizontal="left" vertical="center"/>
      <protection/>
    </xf>
    <xf numFmtId="164" fontId="50" fillId="29" borderId="0" xfId="58" applyNumberFormat="1" applyFont="1" applyFill="1" applyBorder="1" applyAlignment="1" applyProtection="1">
      <alignment horizontal="left" vertical="center"/>
      <protection/>
    </xf>
    <xf numFmtId="164" fontId="50" fillId="29" borderId="15" xfId="58" applyNumberFormat="1" applyFont="1" applyFill="1" applyBorder="1" applyAlignment="1" applyProtection="1">
      <alignment horizontal="left" vertical="center"/>
      <protection/>
    </xf>
    <xf numFmtId="0" fontId="37" fillId="0" borderId="91" xfId="58" applyFont="1" applyFill="1" applyBorder="1" applyAlignment="1" applyProtection="1">
      <alignment horizontal="center" vertical="center"/>
      <protection/>
    </xf>
    <xf numFmtId="0" fontId="37" fillId="0" borderId="19" xfId="59" applyFont="1" applyFill="1" applyBorder="1" applyAlignment="1">
      <alignment horizontal="center" vertical="center"/>
      <protection/>
    </xf>
    <xf numFmtId="0" fontId="55" fillId="0" borderId="82" xfId="58" applyFont="1" applyFill="1" applyBorder="1" applyAlignment="1" applyProtection="1">
      <alignment horizontal="left" vertical="center" wrapText="1"/>
      <protection/>
    </xf>
    <xf numFmtId="164" fontId="55" fillId="0" borderId="38" xfId="0" applyFont="1" applyBorder="1" applyAlignment="1">
      <alignment horizontal="left" wrapText="1"/>
    </xf>
    <xf numFmtId="164" fontId="55" fillId="0" borderId="72" xfId="0" applyFont="1" applyBorder="1" applyAlignment="1">
      <alignment horizontal="left" wrapText="1"/>
    </xf>
    <xf numFmtId="164" fontId="55" fillId="0" borderId="82" xfId="0" applyFont="1" applyBorder="1" applyAlignment="1">
      <alignment horizontal="left" wrapText="1"/>
    </xf>
    <xf numFmtId="164" fontId="55" fillId="0" borderId="91" xfId="0" applyFont="1" applyBorder="1" applyAlignment="1">
      <alignment horizontal="left" wrapText="1"/>
    </xf>
    <xf numFmtId="164" fontId="55" fillId="0" borderId="19" xfId="0" applyFont="1" applyBorder="1" applyAlignment="1">
      <alignment horizontal="left" wrapText="1"/>
    </xf>
    <xf numFmtId="164" fontId="55" fillId="0" borderId="77" xfId="0" applyFont="1" applyBorder="1" applyAlignment="1">
      <alignment horizontal="left" wrapText="1"/>
    </xf>
    <xf numFmtId="0" fontId="50" fillId="29" borderId="32" xfId="58" applyNumberFormat="1" applyFont="1" applyFill="1" applyBorder="1" applyAlignment="1" applyProtection="1">
      <alignment horizontal="left" vertical="center"/>
      <protection/>
    </xf>
    <xf numFmtId="0" fontId="50" fillId="29" borderId="16" xfId="58" applyNumberFormat="1" applyFont="1" applyFill="1" applyBorder="1" applyAlignment="1" applyProtection="1">
      <alignment horizontal="left" vertical="center"/>
      <protection/>
    </xf>
    <xf numFmtId="0" fontId="50" fillId="29" borderId="17" xfId="58" applyNumberFormat="1" applyFont="1" applyFill="1" applyBorder="1" applyAlignment="1" applyProtection="1">
      <alignment horizontal="left" vertical="center"/>
      <protection/>
    </xf>
    <xf numFmtId="164" fontId="50" fillId="29" borderId="73" xfId="58" applyNumberFormat="1" applyFont="1" applyFill="1" applyBorder="1" applyAlignment="1" applyProtection="1">
      <alignment horizontal="left" vertical="center"/>
      <protection/>
    </xf>
    <xf numFmtId="164" fontId="50" fillId="29" borderId="28" xfId="58" applyNumberFormat="1" applyFont="1" applyFill="1" applyBorder="1" applyAlignment="1" applyProtection="1">
      <alignment horizontal="left" vertical="center"/>
      <protection/>
    </xf>
    <xf numFmtId="164" fontId="50" fillId="29" borderId="61" xfId="58" applyNumberFormat="1" applyFont="1" applyFill="1" applyBorder="1" applyAlignment="1" applyProtection="1">
      <alignment horizontal="left" vertical="center"/>
      <protection/>
    </xf>
    <xf numFmtId="0" fontId="61" fillId="0" borderId="64" xfId="58" applyFont="1" applyFill="1" applyBorder="1" applyAlignment="1" applyProtection="1">
      <alignment horizontal="right" vertical="center"/>
      <protection/>
    </xf>
    <xf numFmtId="0" fontId="15" fillId="0" borderId="65" xfId="59" applyFont="1" applyFill="1" applyBorder="1" applyAlignment="1">
      <alignment horizontal="right" vertical="center"/>
      <protection/>
    </xf>
    <xf numFmtId="0" fontId="14" fillId="0" borderId="65" xfId="59" applyFont="1" applyFill="1" applyBorder="1" applyAlignment="1">
      <alignment horizontal="right" vertical="center"/>
      <protection/>
    </xf>
    <xf numFmtId="0" fontId="14" fillId="0" borderId="70" xfId="59" applyFont="1" applyFill="1" applyBorder="1" applyAlignment="1">
      <alignment horizontal="right" vertical="center"/>
      <protection/>
    </xf>
    <xf numFmtId="0" fontId="37" fillId="0" borderId="82" xfId="58" applyFont="1" applyFill="1" applyBorder="1" applyAlignment="1" applyProtection="1">
      <alignment horizontal="right" vertical="center"/>
      <protection/>
    </xf>
    <xf numFmtId="0" fontId="37" fillId="0" borderId="38" xfId="59" applyFont="1" applyBorder="1" applyAlignment="1">
      <alignment horizontal="right"/>
      <protection/>
    </xf>
    <xf numFmtId="0" fontId="37" fillId="0" borderId="32" xfId="59" applyFont="1" applyBorder="1" applyAlignment="1">
      <alignment horizontal="right"/>
      <protection/>
    </xf>
    <xf numFmtId="191" fontId="63" fillId="28" borderId="89" xfId="58" applyNumberFormat="1" applyFont="1" applyFill="1" applyBorder="1" applyAlignment="1" applyProtection="1">
      <alignment horizontal="center" vertical="center"/>
      <protection locked="0"/>
    </xf>
    <xf numFmtId="191" fontId="64" fillId="28" borderId="31" xfId="59" applyNumberFormat="1" applyFont="1" applyFill="1" applyBorder="1" applyAlignment="1">
      <alignment vertical="center"/>
      <protection/>
    </xf>
    <xf numFmtId="191" fontId="64" fillId="28" borderId="90" xfId="59" applyNumberFormat="1" applyFont="1" applyFill="1" applyBorder="1" applyAlignment="1">
      <alignment vertical="center"/>
      <protection/>
    </xf>
    <xf numFmtId="164" fontId="50" fillId="29" borderId="32" xfId="58" applyNumberFormat="1" applyFont="1" applyFill="1" applyBorder="1" applyAlignment="1" applyProtection="1">
      <alignment horizontal="left" vertical="center"/>
      <protection/>
    </xf>
    <xf numFmtId="164" fontId="50" fillId="29" borderId="16" xfId="58" applyNumberFormat="1" applyFont="1" applyFill="1" applyBorder="1" applyAlignment="1" applyProtection="1">
      <alignment horizontal="left" vertical="center"/>
      <protection/>
    </xf>
    <xf numFmtId="164" fontId="50" fillId="29" borderId="17" xfId="58" applyNumberFormat="1" applyFont="1" applyFill="1" applyBorder="1" applyAlignment="1" applyProtection="1">
      <alignment horizontal="left" vertical="center"/>
      <protection/>
    </xf>
    <xf numFmtId="0" fontId="37" fillId="0" borderId="64" xfId="58" applyFont="1" applyFill="1" applyBorder="1" applyAlignment="1" applyProtection="1">
      <alignment horizontal="left" vertical="center"/>
      <protection/>
    </xf>
    <xf numFmtId="0" fontId="6" fillId="0" borderId="65" xfId="59" applyBorder="1" applyAlignment="1">
      <alignment vertical="center"/>
      <protection/>
    </xf>
    <xf numFmtId="0" fontId="6" fillId="0" borderId="93" xfId="59" applyBorder="1" applyAlignment="1">
      <alignment vertical="center"/>
      <protection/>
    </xf>
    <xf numFmtId="172" fontId="63" fillId="28" borderId="50" xfId="59" applyNumberFormat="1" applyFont="1" applyFill="1" applyBorder="1" applyAlignment="1">
      <alignment horizontal="center" vertical="center"/>
      <protection/>
    </xf>
    <xf numFmtId="172" fontId="63" fillId="28" borderId="37" xfId="59" applyNumberFormat="1" applyFont="1" applyFill="1" applyBorder="1" applyAlignment="1">
      <alignment horizontal="center"/>
      <protection/>
    </xf>
    <xf numFmtId="172" fontId="63" fillId="28" borderId="47" xfId="59" applyNumberFormat="1" applyFont="1" applyFill="1" applyBorder="1" applyAlignment="1">
      <alignment horizontal="center"/>
      <protection/>
    </xf>
    <xf numFmtId="0" fontId="37" fillId="0" borderId="40" xfId="58" applyFont="1" applyFill="1" applyBorder="1" applyAlignment="1" applyProtection="1">
      <alignment horizontal="right" vertical="center"/>
      <protection/>
    </xf>
    <xf numFmtId="0" fontId="6" fillId="0" borderId="37" xfId="59" applyFill="1" applyBorder="1" applyAlignment="1">
      <alignment vertical="center"/>
      <protection/>
    </xf>
    <xf numFmtId="0" fontId="6" fillId="0" borderId="47" xfId="59" applyFill="1" applyBorder="1" applyAlignment="1">
      <alignment vertical="center"/>
      <protection/>
    </xf>
    <xf numFmtId="1" fontId="63" fillId="29" borderId="54" xfId="58" applyNumberFormat="1" applyFont="1" applyFill="1" applyBorder="1" applyAlignment="1" applyProtection="1">
      <alignment horizontal="center" vertical="center"/>
      <protection locked="0"/>
    </xf>
    <xf numFmtId="0" fontId="93" fillId="0" borderId="40" xfId="59" applyFont="1" applyBorder="1" applyAlignment="1">
      <alignment horizontal="right" vertical="center"/>
      <protection/>
    </xf>
    <xf numFmtId="0" fontId="93" fillId="0" borderId="37" xfId="59" applyFont="1" applyBorder="1" applyAlignment="1">
      <alignment horizontal="right" vertical="center"/>
      <protection/>
    </xf>
    <xf numFmtId="0" fontId="61" fillId="0" borderId="40" xfId="58" applyFont="1" applyFill="1" applyBorder="1" applyAlignment="1" applyProtection="1">
      <alignment horizontal="right" vertical="center"/>
      <protection/>
    </xf>
    <xf numFmtId="0" fontId="14" fillId="0" borderId="81" xfId="59" applyFont="1" applyBorder="1" applyAlignment="1">
      <alignment vertical="center"/>
      <protection/>
    </xf>
    <xf numFmtId="0" fontId="106" fillId="28" borderId="37" xfId="59" applyFont="1" applyFill="1" applyBorder="1" applyAlignment="1">
      <alignment horizontal="center" vertical="center"/>
      <protection/>
    </xf>
    <xf numFmtId="0" fontId="107" fillId="28" borderId="47" xfId="59" applyFont="1" applyFill="1" applyBorder="1" applyAlignment="1">
      <alignment horizontal="center" vertical="center"/>
      <protection/>
    </xf>
    <xf numFmtId="0" fontId="93" fillId="0" borderId="11" xfId="58" applyFont="1" applyFill="1" applyBorder="1" applyAlignment="1" applyProtection="1">
      <alignment horizontal="center" vertical="center"/>
      <protection/>
    </xf>
    <xf numFmtId="0" fontId="94" fillId="0" borderId="12" xfId="59" applyFont="1" applyBorder="1" applyAlignment="1">
      <alignment horizontal="center" vertical="center"/>
      <protection/>
    </xf>
    <xf numFmtId="0" fontId="94" fillId="0" borderId="56" xfId="59" applyFont="1" applyBorder="1" applyAlignment="1">
      <alignment horizontal="center" vertical="center"/>
      <protection/>
    </xf>
    <xf numFmtId="0" fontId="61" fillId="0" borderId="91" xfId="58" applyFont="1" applyFill="1" applyBorder="1" applyAlignment="1" applyProtection="1">
      <alignment horizontal="right" vertical="center"/>
      <protection/>
    </xf>
    <xf numFmtId="0" fontId="61" fillId="0" borderId="19" xfId="59" applyFont="1" applyBorder="1" applyAlignment="1">
      <alignment horizontal="right" vertical="center"/>
      <protection/>
    </xf>
    <xf numFmtId="0" fontId="61" fillId="0" borderId="74" xfId="59" applyFont="1" applyBorder="1" applyAlignment="1">
      <alignment horizontal="right" vertical="center"/>
      <protection/>
    </xf>
    <xf numFmtId="0" fontId="93" fillId="0" borderId="25" xfId="58" applyFont="1" applyFill="1" applyBorder="1" applyAlignment="1" applyProtection="1">
      <alignment horizontal="center" vertical="center"/>
      <protection/>
    </xf>
    <xf numFmtId="0" fontId="94" fillId="0" borderId="26" xfId="59" applyFont="1" applyBorder="1" applyAlignment="1">
      <alignment horizontal="center" vertical="center"/>
      <protection/>
    </xf>
    <xf numFmtId="0" fontId="94" fillId="0" borderId="27" xfId="59" applyFont="1" applyBorder="1" applyAlignment="1">
      <alignment horizontal="center" vertical="center"/>
      <protection/>
    </xf>
    <xf numFmtId="191" fontId="63" fillId="28" borderId="24" xfId="58" applyNumberFormat="1" applyFont="1" applyFill="1" applyBorder="1" applyAlignment="1" applyProtection="1">
      <alignment horizontal="center" vertical="center"/>
      <protection locked="0"/>
    </xf>
    <xf numFmtId="191" fontId="64" fillId="28" borderId="0" xfId="59" applyNumberFormat="1" applyFont="1" applyFill="1" applyBorder="1" applyAlignment="1">
      <alignment vertical="center"/>
      <protection/>
    </xf>
    <xf numFmtId="191" fontId="64" fillId="28" borderId="14" xfId="59" applyNumberFormat="1" applyFont="1" applyFill="1" applyBorder="1" applyAlignment="1">
      <alignment vertical="center"/>
      <protection/>
    </xf>
    <xf numFmtId="0" fontId="47" fillId="28" borderId="89" xfId="59" applyFont="1" applyFill="1" applyBorder="1" applyAlignment="1">
      <alignment horizontal="center" vertical="center"/>
      <protection/>
    </xf>
    <xf numFmtId="0" fontId="47" fillId="28" borderId="31" xfId="59" applyFont="1" applyFill="1" applyBorder="1" applyAlignment="1">
      <alignment horizontal="center" vertical="center"/>
      <protection/>
    </xf>
    <xf numFmtId="0" fontId="47" fillId="28" borderId="90" xfId="59" applyFont="1" applyFill="1" applyBorder="1" applyAlignment="1">
      <alignment horizontal="center" vertical="center"/>
      <protection/>
    </xf>
    <xf numFmtId="0" fontId="49" fillId="30" borderId="40" xfId="58" applyFont="1" applyFill="1" applyBorder="1" applyAlignment="1" applyProtection="1">
      <alignment horizontal="left" vertical="center" wrapText="1"/>
      <protection/>
    </xf>
    <xf numFmtId="0" fontId="49" fillId="30" borderId="37" xfId="58" applyFont="1" applyFill="1" applyBorder="1" applyAlignment="1" applyProtection="1">
      <alignment horizontal="left" vertical="center" wrapText="1"/>
      <protection/>
    </xf>
    <xf numFmtId="0" fontId="49" fillId="30" borderId="47" xfId="58" applyFont="1" applyFill="1" applyBorder="1" applyAlignment="1" applyProtection="1">
      <alignment horizontal="left" vertical="center" wrapText="1"/>
      <protection/>
    </xf>
    <xf numFmtId="0" fontId="50" fillId="29" borderId="50" xfId="58" applyFont="1" applyFill="1" applyBorder="1" applyAlignment="1" applyProtection="1">
      <alignment horizontal="left" vertical="center"/>
      <protection/>
    </xf>
    <xf numFmtId="0" fontId="50" fillId="29" borderId="37" xfId="59" applyFont="1" applyFill="1" applyBorder="1" applyAlignment="1">
      <alignment horizontal="left"/>
      <protection/>
    </xf>
    <xf numFmtId="0" fontId="50" fillId="29" borderId="47" xfId="59" applyFont="1" applyFill="1" applyBorder="1" applyAlignment="1">
      <alignment horizontal="left"/>
      <protection/>
    </xf>
    <xf numFmtId="0" fontId="37" fillId="29" borderId="89" xfId="58" applyFont="1" applyFill="1" applyBorder="1" applyAlignment="1" applyProtection="1">
      <alignment horizontal="left" vertical="center"/>
      <protection/>
    </xf>
    <xf numFmtId="0" fontId="37" fillId="29" borderId="31" xfId="59" applyFont="1" applyFill="1" applyBorder="1" applyAlignment="1">
      <alignment horizontal="left" vertical="center"/>
      <protection/>
    </xf>
    <xf numFmtId="0" fontId="61" fillId="0" borderId="70" xfId="59" applyFont="1" applyFill="1" applyBorder="1" applyAlignment="1">
      <alignment horizontal="right" vertical="center"/>
      <protection/>
    </xf>
    <xf numFmtId="0" fontId="14" fillId="0" borderId="44" xfId="59" applyFont="1" applyBorder="1" applyAlignment="1">
      <alignment horizontal="right" vertical="center"/>
      <protection/>
    </xf>
    <xf numFmtId="0" fontId="61" fillId="0" borderId="82" xfId="58" applyFont="1" applyFill="1" applyBorder="1" applyAlignment="1" applyProtection="1">
      <alignment horizontal="right" vertical="center"/>
      <protection/>
    </xf>
    <xf numFmtId="0" fontId="14" fillId="0" borderId="38" xfId="59" applyFont="1" applyFill="1" applyBorder="1" applyAlignment="1">
      <alignment horizontal="right" vertical="center"/>
      <protection/>
    </xf>
    <xf numFmtId="0" fontId="37" fillId="29" borderId="89" xfId="59" applyFont="1" applyFill="1" applyBorder="1" applyAlignment="1">
      <alignment horizontal="center" vertical="center"/>
      <protection/>
    </xf>
    <xf numFmtId="0" fontId="37" fillId="29" borderId="90" xfId="59" applyFont="1" applyFill="1" applyBorder="1" applyAlignment="1">
      <alignment horizontal="center" vertical="center"/>
      <protection/>
    </xf>
    <xf numFmtId="0" fontId="37" fillId="0" borderId="86" xfId="58" applyFont="1" applyFill="1" applyBorder="1" applyAlignment="1" applyProtection="1">
      <alignment horizontal="right" vertical="center"/>
      <protection/>
    </xf>
    <xf numFmtId="0" fontId="6" fillId="0" borderId="85" xfId="59" applyFill="1" applyBorder="1" applyAlignment="1">
      <alignment horizontal="right" vertical="center"/>
      <protection/>
    </xf>
    <xf numFmtId="0" fontId="6" fillId="0" borderId="38" xfId="59" applyFill="1" applyBorder="1" applyAlignment="1">
      <alignment horizontal="right" vertical="center"/>
      <protection/>
    </xf>
    <xf numFmtId="0" fontId="47" fillId="0" borderId="40" xfId="58" applyFont="1" applyBorder="1" applyAlignment="1" applyProtection="1">
      <alignment horizontal="center" vertical="center"/>
      <protection/>
    </xf>
    <xf numFmtId="0" fontId="47" fillId="0" borderId="37" xfId="58" applyFont="1" applyBorder="1" applyAlignment="1" applyProtection="1">
      <alignment horizontal="center" vertical="center"/>
      <protection/>
    </xf>
    <xf numFmtId="0" fontId="47" fillId="0" borderId="47" xfId="58" applyFont="1" applyBorder="1" applyAlignment="1" applyProtection="1">
      <alignment horizontal="center" vertical="center"/>
      <protection/>
    </xf>
    <xf numFmtId="0" fontId="37" fillId="28" borderId="70" xfId="59" applyFont="1" applyFill="1" applyBorder="1" applyAlignment="1">
      <alignment vertical="center"/>
      <protection/>
    </xf>
    <xf numFmtId="0" fontId="37" fillId="28" borderId="44" xfId="59" applyFont="1" applyFill="1" applyBorder="1" applyAlignment="1">
      <alignment vertical="center"/>
      <protection/>
    </xf>
    <xf numFmtId="0" fontId="37" fillId="28" borderId="45" xfId="59" applyFont="1" applyFill="1" applyBorder="1" applyAlignment="1">
      <alignment vertical="center"/>
      <protection/>
    </xf>
    <xf numFmtId="0" fontId="37" fillId="29" borderId="38" xfId="58" applyFont="1" applyFill="1" applyBorder="1" applyAlignment="1" applyProtection="1">
      <alignment horizontal="left" vertical="center"/>
      <protection/>
    </xf>
    <xf numFmtId="0" fontId="37" fillId="29" borderId="38" xfId="59" applyFont="1" applyFill="1" applyBorder="1" applyAlignment="1">
      <alignment horizontal="left" vertical="center"/>
      <protection/>
    </xf>
    <xf numFmtId="0" fontId="37" fillId="29" borderId="38" xfId="58" applyFont="1" applyFill="1" applyBorder="1" applyAlignment="1" applyProtection="1">
      <alignment horizontal="left" vertical="center"/>
      <protection locked="0"/>
    </xf>
    <xf numFmtId="0" fontId="37" fillId="29" borderId="38" xfId="59" applyFont="1" applyFill="1" applyBorder="1" applyAlignment="1">
      <alignment/>
      <protection/>
    </xf>
    <xf numFmtId="0" fontId="93" fillId="0" borderId="94" xfId="58" applyFont="1" applyFill="1" applyBorder="1" applyAlignment="1" applyProtection="1">
      <alignment horizontal="center" vertical="center"/>
      <protection/>
    </xf>
    <xf numFmtId="0" fontId="93" fillId="0" borderId="71" xfId="59" applyFont="1" applyFill="1" applyBorder="1" applyAlignment="1">
      <alignment horizontal="center" vertical="center"/>
      <protection/>
    </xf>
    <xf numFmtId="0" fontId="37" fillId="0" borderId="25" xfId="58" applyFont="1" applyFill="1" applyBorder="1" applyAlignment="1" applyProtection="1">
      <alignment horizontal="center" vertical="center"/>
      <protection/>
    </xf>
    <xf numFmtId="0" fontId="6" fillId="0" borderId="26" xfId="59" applyBorder="1">
      <alignment/>
      <protection/>
    </xf>
    <xf numFmtId="0" fontId="6" fillId="0" borderId="27" xfId="59" applyBorder="1">
      <alignment/>
      <protection/>
    </xf>
    <xf numFmtId="0" fontId="37" fillId="28" borderId="70" xfId="59" applyFont="1" applyFill="1" applyBorder="1" applyAlignment="1">
      <alignment horizontal="left" vertical="center"/>
      <protection/>
    </xf>
    <xf numFmtId="0" fontId="37" fillId="28" borderId="44" xfId="59" applyFont="1" applyFill="1" applyBorder="1" applyAlignment="1">
      <alignment horizontal="left" vertical="center"/>
      <protection/>
    </xf>
    <xf numFmtId="0" fontId="37" fillId="28" borderId="83" xfId="59" applyFont="1" applyFill="1" applyBorder="1" applyAlignment="1">
      <alignment horizontal="left" vertical="center"/>
      <protection/>
    </xf>
    <xf numFmtId="172" fontId="63" fillId="28" borderId="71" xfId="58" applyNumberFormat="1" applyFont="1" applyFill="1" applyBorder="1" applyAlignment="1" applyProtection="1">
      <alignment horizontal="center" vertical="center"/>
      <protection/>
    </xf>
    <xf numFmtId="172" fontId="63" fillId="28" borderId="71" xfId="59" applyNumberFormat="1" applyFont="1" applyFill="1" applyBorder="1" applyAlignment="1">
      <alignment horizontal="center" vertical="center"/>
      <protection/>
    </xf>
    <xf numFmtId="46" fontId="63" fillId="28" borderId="67" xfId="58" applyNumberFormat="1" applyFont="1" applyFill="1" applyBorder="1" applyAlignment="1" applyProtection="1">
      <alignment horizontal="center" vertical="center"/>
      <protection locked="0"/>
    </xf>
    <xf numFmtId="0" fontId="64" fillId="28" borderId="12" xfId="59" applyFont="1" applyFill="1" applyBorder="1" applyAlignment="1">
      <alignment vertical="center"/>
      <protection/>
    </xf>
    <xf numFmtId="0" fontId="64" fillId="28" borderId="56" xfId="59" applyFont="1" applyFill="1" applyBorder="1" applyAlignment="1">
      <alignment vertical="center"/>
      <protection/>
    </xf>
    <xf numFmtId="0" fontId="50" fillId="29" borderId="67" xfId="58" applyFont="1" applyFill="1" applyBorder="1" applyAlignment="1" applyProtection="1">
      <alignment horizontal="left" vertical="center"/>
      <protection/>
    </xf>
    <xf numFmtId="0" fontId="50" fillId="29" borderId="12" xfId="58" applyFont="1" applyFill="1" applyBorder="1" applyAlignment="1" applyProtection="1">
      <alignment horizontal="left" vertical="center"/>
      <protection/>
    </xf>
    <xf numFmtId="0" fontId="50" fillId="29" borderId="84" xfId="58" applyFont="1" applyFill="1" applyBorder="1" applyAlignment="1" applyProtection="1">
      <alignment horizontal="left" vertical="center"/>
      <protection/>
    </xf>
    <xf numFmtId="46" fontId="63" fillId="28" borderId="66" xfId="58" applyNumberFormat="1" applyFont="1" applyFill="1" applyBorder="1" applyAlignment="1" applyProtection="1">
      <alignment horizontal="center" vertical="center"/>
      <protection/>
    </xf>
    <xf numFmtId="0" fontId="64" fillId="28" borderId="31" xfId="59" applyFont="1" applyFill="1" applyBorder="1" applyAlignment="1">
      <alignment horizontal="center" vertical="center"/>
      <protection/>
    </xf>
    <xf numFmtId="0" fontId="64" fillId="28" borderId="90" xfId="59" applyFont="1" applyFill="1" applyBorder="1" applyAlignment="1">
      <alignment horizontal="center" vertical="center"/>
      <protection/>
    </xf>
    <xf numFmtId="0" fontId="61" fillId="0" borderId="69" xfId="58" applyFont="1" applyFill="1" applyBorder="1" applyAlignment="1" applyProtection="1">
      <alignment horizontal="center" vertical="center"/>
      <protection/>
    </xf>
    <xf numFmtId="0" fontId="95" fillId="0" borderId="16" xfId="59" applyFont="1" applyBorder="1" applyAlignment="1">
      <alignment horizontal="center" vertical="center"/>
      <protection/>
    </xf>
    <xf numFmtId="0" fontId="95" fillId="0" borderId="92" xfId="59" applyFont="1" applyBorder="1" applyAlignment="1">
      <alignment horizontal="center" vertical="center"/>
      <protection/>
    </xf>
    <xf numFmtId="46" fontId="63" fillId="28" borderId="32" xfId="58" applyNumberFormat="1" applyFont="1" applyFill="1" applyBorder="1" applyAlignment="1" applyProtection="1">
      <alignment horizontal="center" vertical="center"/>
      <protection locked="0"/>
    </xf>
    <xf numFmtId="0" fontId="64" fillId="28" borderId="16" xfId="59" applyFont="1" applyFill="1" applyBorder="1" applyAlignment="1">
      <alignment vertical="center"/>
      <protection/>
    </xf>
    <xf numFmtId="0" fontId="64" fillId="28" borderId="92" xfId="59" applyFont="1" applyFill="1" applyBorder="1" applyAlignment="1">
      <alignment vertical="center"/>
      <protection/>
    </xf>
    <xf numFmtId="0" fontId="50" fillId="29" borderId="32" xfId="58" applyFont="1" applyFill="1" applyBorder="1" applyAlignment="1" applyProtection="1">
      <alignment horizontal="left" vertical="center"/>
      <protection/>
    </xf>
    <xf numFmtId="0" fontId="50" fillId="29" borderId="16" xfId="58" applyFont="1" applyFill="1" applyBorder="1" applyAlignment="1" applyProtection="1">
      <alignment horizontal="left" vertical="center"/>
      <protection/>
    </xf>
    <xf numFmtId="0" fontId="50" fillId="29" borderId="17" xfId="58" applyFont="1" applyFill="1" applyBorder="1" applyAlignment="1" applyProtection="1">
      <alignment horizontal="left" vertical="center"/>
      <protection/>
    </xf>
    <xf numFmtId="0" fontId="37" fillId="0" borderId="13" xfId="58" applyFont="1" applyFill="1" applyBorder="1" applyAlignment="1" applyProtection="1">
      <alignment horizontal="center" vertical="center"/>
      <protection/>
    </xf>
    <xf numFmtId="0" fontId="37" fillId="0" borderId="0" xfId="59" applyFont="1" applyFill="1" applyBorder="1" applyAlignment="1">
      <alignment horizontal="center"/>
      <protection/>
    </xf>
    <xf numFmtId="0" fontId="6" fillId="0" borderId="0" xfId="59" applyBorder="1" applyAlignment="1">
      <alignment horizontal="center"/>
      <protection/>
    </xf>
    <xf numFmtId="46" fontId="63" fillId="28" borderId="24" xfId="58" applyNumberFormat="1" applyFont="1" applyFill="1" applyBorder="1" applyAlignment="1" applyProtection="1">
      <alignment horizontal="center" vertical="center"/>
      <protection locked="0"/>
    </xf>
    <xf numFmtId="0" fontId="64" fillId="28" borderId="0" xfId="59" applyFont="1" applyFill="1" applyBorder="1" applyAlignment="1">
      <alignment vertical="center"/>
      <protection/>
    </xf>
    <xf numFmtId="0" fontId="64" fillId="28" borderId="14" xfId="59" applyFont="1" applyFill="1" applyBorder="1" applyAlignment="1">
      <alignment vertical="center"/>
      <protection/>
    </xf>
    <xf numFmtId="0" fontId="37" fillId="0" borderId="64" xfId="58" applyFont="1" applyFill="1" applyBorder="1" applyAlignment="1" applyProtection="1">
      <alignment horizontal="center" vertical="center"/>
      <protection/>
    </xf>
    <xf numFmtId="0" fontId="37" fillId="0" borderId="65" xfId="59" applyFont="1" applyFill="1" applyBorder="1" applyAlignment="1">
      <alignment horizontal="center" vertical="center"/>
      <protection/>
    </xf>
    <xf numFmtId="0" fontId="61" fillId="0" borderId="43" xfId="58" applyFont="1" applyFill="1" applyBorder="1" applyAlignment="1" applyProtection="1">
      <alignment horizontal="right" vertical="center"/>
      <protection/>
    </xf>
    <xf numFmtId="0" fontId="37" fillId="28" borderId="32" xfId="58" applyFont="1" applyFill="1" applyBorder="1" applyAlignment="1" applyProtection="1">
      <alignment vertical="center"/>
      <protection/>
    </xf>
    <xf numFmtId="0" fontId="37" fillId="28" borderId="16" xfId="58" applyFont="1" applyFill="1" applyBorder="1" applyAlignment="1" applyProtection="1">
      <alignment vertical="center"/>
      <protection/>
    </xf>
    <xf numFmtId="0" fontId="37" fillId="28" borderId="92" xfId="58" applyFont="1" applyFill="1" applyBorder="1" applyAlignment="1" applyProtection="1">
      <alignment vertical="center"/>
      <protection/>
    </xf>
    <xf numFmtId="0" fontId="63" fillId="28" borderId="32" xfId="58" applyFont="1" applyFill="1" applyBorder="1" applyAlignment="1" applyProtection="1">
      <alignment vertical="center"/>
      <protection/>
    </xf>
    <xf numFmtId="0" fontId="63" fillId="28" borderId="16" xfId="59" applyFont="1" applyFill="1" applyBorder="1" applyAlignment="1">
      <alignment vertical="center"/>
      <protection/>
    </xf>
    <xf numFmtId="0" fontId="63" fillId="28" borderId="92" xfId="59" applyFont="1" applyFill="1" applyBorder="1" applyAlignment="1">
      <alignment vertical="center"/>
      <protection/>
    </xf>
    <xf numFmtId="0" fontId="63" fillId="28" borderId="32" xfId="58" applyFont="1" applyFill="1" applyBorder="1" applyAlignment="1" applyProtection="1">
      <alignment horizontal="left" vertical="center"/>
      <protection/>
    </xf>
    <xf numFmtId="0" fontId="63" fillId="28" borderId="16" xfId="58" applyFont="1" applyFill="1" applyBorder="1" applyAlignment="1" applyProtection="1">
      <alignment horizontal="left" vertical="center"/>
      <protection/>
    </xf>
    <xf numFmtId="0" fontId="63" fillId="28" borderId="17" xfId="58" applyFont="1" applyFill="1" applyBorder="1" applyAlignment="1" applyProtection="1">
      <alignment horizontal="left" vertical="center"/>
      <protection/>
    </xf>
    <xf numFmtId="0" fontId="61" fillId="0" borderId="50" xfId="58" applyFont="1" applyFill="1" applyBorder="1" applyAlignment="1" applyProtection="1">
      <alignment horizontal="center" vertical="center"/>
      <protection/>
    </xf>
    <xf numFmtId="0" fontId="95" fillId="0" borderId="37" xfId="59" applyFont="1" applyBorder="1" applyAlignment="1">
      <alignment horizontal="center" vertical="center"/>
      <protection/>
    </xf>
    <xf numFmtId="0" fontId="95" fillId="0" borderId="47" xfId="59" applyFont="1" applyBorder="1" applyAlignment="1">
      <alignment horizontal="center" vertical="center"/>
      <protection/>
    </xf>
    <xf numFmtId="0" fontId="50" fillId="29" borderId="24" xfId="58" applyFont="1" applyFill="1" applyBorder="1" applyAlignment="1" applyProtection="1">
      <alignment horizontal="left" vertical="center"/>
      <protection/>
    </xf>
    <xf numFmtId="0" fontId="50" fillId="29" borderId="0" xfId="58" applyFont="1" applyFill="1" applyBorder="1" applyAlignment="1" applyProtection="1">
      <alignment horizontal="left" vertical="center"/>
      <protection/>
    </xf>
    <xf numFmtId="0" fontId="50" fillId="29" borderId="15" xfId="58" applyFont="1" applyFill="1" applyBorder="1" applyAlignment="1" applyProtection="1">
      <alignment horizontal="left" vertical="center"/>
      <protection/>
    </xf>
    <xf numFmtId="0" fontId="49" fillId="28" borderId="32" xfId="58" applyFont="1" applyFill="1" applyBorder="1" applyAlignment="1" applyProtection="1">
      <alignment horizontal="center" vertical="center"/>
      <protection/>
    </xf>
    <xf numFmtId="0" fontId="49" fillId="28" borderId="17" xfId="58" applyFont="1" applyFill="1" applyBorder="1" applyAlignment="1" applyProtection="1">
      <alignment horizontal="center" vertical="center"/>
      <protection/>
    </xf>
    <xf numFmtId="0" fontId="37" fillId="0" borderId="73" xfId="59" applyFont="1" applyFill="1" applyBorder="1" applyAlignment="1">
      <alignment horizontal="right" vertical="center"/>
      <protection/>
    </xf>
    <xf numFmtId="0" fontId="37" fillId="0" borderId="28" xfId="59" applyFont="1" applyFill="1" applyBorder="1" applyAlignment="1">
      <alignment horizontal="right" vertical="center"/>
      <protection/>
    </xf>
    <xf numFmtId="0" fontId="37" fillId="0" borderId="61" xfId="59" applyFont="1" applyFill="1" applyBorder="1" applyAlignment="1">
      <alignment horizontal="right" vertical="center"/>
      <protection/>
    </xf>
    <xf numFmtId="0" fontId="63" fillId="28" borderId="32" xfId="59" applyFont="1" applyFill="1" applyBorder="1" applyAlignment="1">
      <alignment vertical="center"/>
      <protection/>
    </xf>
    <xf numFmtId="0" fontId="63" fillId="28" borderId="16" xfId="59" applyFont="1" applyFill="1" applyBorder="1">
      <alignment/>
      <protection/>
    </xf>
    <xf numFmtId="0" fontId="63" fillId="28" borderId="92" xfId="59" applyFont="1" applyFill="1" applyBorder="1">
      <alignment/>
      <protection/>
    </xf>
    <xf numFmtId="0" fontId="56" fillId="0" borderId="89" xfId="58" applyFont="1" applyFill="1" applyBorder="1" applyAlignment="1">
      <alignment vertical="center"/>
      <protection/>
    </xf>
    <xf numFmtId="0" fontId="6" fillId="0" borderId="31" xfId="59" applyBorder="1">
      <alignment/>
      <protection/>
    </xf>
    <xf numFmtId="0" fontId="6" fillId="0" borderId="90" xfId="59" applyBorder="1">
      <alignment/>
      <protection/>
    </xf>
    <xf numFmtId="0" fontId="37" fillId="0" borderId="60" xfId="58" applyFont="1" applyBorder="1" applyAlignment="1" applyProtection="1">
      <alignment horizontal="center" wrapText="1"/>
      <protection/>
    </xf>
    <xf numFmtId="0" fontId="37" fillId="0" borderId="60" xfId="59" applyFont="1" applyBorder="1" applyAlignment="1">
      <alignment horizontal="center" wrapText="1"/>
      <protection/>
    </xf>
    <xf numFmtId="0" fontId="63" fillId="28" borderId="32" xfId="58" applyFont="1" applyFill="1" applyBorder="1" applyAlignment="1">
      <alignment vertical="center"/>
      <protection/>
    </xf>
    <xf numFmtId="0" fontId="63" fillId="28" borderId="17" xfId="59" applyFont="1" applyFill="1" applyBorder="1">
      <alignment/>
      <protection/>
    </xf>
    <xf numFmtId="0" fontId="37" fillId="0" borderId="60" xfId="58" applyFont="1" applyBorder="1" applyAlignment="1" applyProtection="1">
      <alignment horizontal="center" vertical="center"/>
      <protection/>
    </xf>
    <xf numFmtId="0" fontId="37" fillId="0" borderId="87" xfId="58" applyFont="1" applyBorder="1" applyAlignment="1" applyProtection="1">
      <alignment horizontal="center" vertical="center"/>
      <protection/>
    </xf>
    <xf numFmtId="1" fontId="47" fillId="28" borderId="38" xfId="58" applyNumberFormat="1" applyFont="1" applyFill="1" applyBorder="1" applyAlignment="1" applyProtection="1">
      <alignment horizontal="center" vertical="center"/>
      <protection locked="0"/>
    </xf>
    <xf numFmtId="45" fontId="47" fillId="28" borderId="38" xfId="58" applyNumberFormat="1" applyFont="1" applyFill="1" applyBorder="1" applyAlignment="1" applyProtection="1">
      <alignment horizontal="center" vertical="center"/>
      <protection locked="0"/>
    </xf>
    <xf numFmtId="0" fontId="47" fillId="28" borderId="38" xfId="59" applyFont="1" applyFill="1" applyBorder="1" applyAlignment="1">
      <alignment horizontal="center" vertical="center"/>
      <protection/>
    </xf>
    <xf numFmtId="0" fontId="47" fillId="28" borderId="72" xfId="59" applyFont="1" applyFill="1" applyBorder="1" applyAlignment="1">
      <alignment horizontal="center" vertical="center"/>
      <protection/>
    </xf>
    <xf numFmtId="1" fontId="47" fillId="28" borderId="85" xfId="58" applyNumberFormat="1" applyFont="1" applyFill="1" applyBorder="1" applyAlignment="1" applyProtection="1">
      <alignment horizontal="center" vertical="center"/>
      <protection locked="0"/>
    </xf>
    <xf numFmtId="0" fontId="9" fillId="0" borderId="38" xfId="58" applyFont="1" applyBorder="1" applyAlignment="1" applyProtection="1">
      <alignment horizontal="center" vertical="center"/>
      <protection/>
    </xf>
    <xf numFmtId="0" fontId="50" fillId="28" borderId="67" xfId="59" applyFont="1" applyFill="1" applyBorder="1" applyAlignment="1">
      <alignment vertical="center"/>
      <protection/>
    </xf>
    <xf numFmtId="0" fontId="50" fillId="28" borderId="12" xfId="59" applyFont="1" applyFill="1" applyBorder="1">
      <alignment/>
      <protection/>
    </xf>
    <xf numFmtId="0" fontId="50" fillId="28" borderId="56" xfId="59" applyFont="1" applyFill="1" applyBorder="1">
      <alignment/>
      <protection/>
    </xf>
    <xf numFmtId="1" fontId="47" fillId="29" borderId="32" xfId="58" applyNumberFormat="1" applyFont="1" applyFill="1" applyBorder="1" applyAlignment="1" applyProtection="1">
      <alignment horizontal="center" vertical="center"/>
      <protection/>
    </xf>
    <xf numFmtId="0" fontId="47" fillId="0" borderId="17" xfId="59" applyFont="1" applyBorder="1" applyAlignment="1">
      <alignment horizontal="center" vertical="center"/>
      <protection/>
    </xf>
    <xf numFmtId="1" fontId="47" fillId="29" borderId="89" xfId="58" applyNumberFormat="1" applyFont="1" applyFill="1" applyBorder="1" applyAlignment="1" applyProtection="1">
      <alignment horizontal="center" vertical="center"/>
      <protection/>
    </xf>
    <xf numFmtId="0" fontId="47" fillId="0" borderId="95" xfId="59" applyFont="1" applyBorder="1" applyAlignment="1">
      <alignment horizontal="center" vertical="center"/>
      <protection/>
    </xf>
    <xf numFmtId="0" fontId="50" fillId="0" borderId="40" xfId="58" applyFont="1" applyBorder="1" applyAlignment="1" applyProtection="1">
      <alignment/>
      <protection/>
    </xf>
    <xf numFmtId="0" fontId="6" fillId="0" borderId="37" xfId="59" applyBorder="1" applyAlignment="1">
      <alignment/>
      <protection/>
    </xf>
    <xf numFmtId="0" fontId="50" fillId="0" borderId="37" xfId="59" applyFont="1" applyFill="1" applyBorder="1" applyAlignment="1">
      <alignment/>
      <protection/>
    </xf>
    <xf numFmtId="0" fontId="37" fillId="28" borderId="37" xfId="59" applyFont="1" applyFill="1" applyBorder="1" applyAlignment="1">
      <alignment/>
      <protection/>
    </xf>
    <xf numFmtId="0" fontId="6" fillId="28" borderId="37" xfId="59" applyFill="1" applyBorder="1" applyAlignment="1">
      <alignment/>
      <protection/>
    </xf>
    <xf numFmtId="0" fontId="37" fillId="0" borderId="40" xfId="58" applyFont="1" applyBorder="1" applyAlignment="1" applyProtection="1">
      <alignment/>
      <protection/>
    </xf>
    <xf numFmtId="0" fontId="37" fillId="0" borderId="37" xfId="59" applyFont="1" applyBorder="1" applyAlignment="1">
      <alignment/>
      <protection/>
    </xf>
    <xf numFmtId="0" fontId="37" fillId="0" borderId="47" xfId="59" applyFont="1" applyBorder="1" applyAlignment="1">
      <alignment/>
      <protection/>
    </xf>
    <xf numFmtId="0" fontId="64" fillId="28" borderId="37" xfId="59" applyFont="1" applyFill="1" applyBorder="1" applyAlignment="1">
      <alignment horizontal="center" vertical="center"/>
      <protection/>
    </xf>
    <xf numFmtId="0" fontId="64" fillId="28" borderId="47" xfId="59" applyFont="1" applyFill="1" applyBorder="1" applyAlignment="1">
      <alignment horizontal="center" vertical="center"/>
      <protection/>
    </xf>
    <xf numFmtId="0" fontId="54" fillId="0" borderId="38" xfId="58" applyFont="1" applyFill="1" applyBorder="1" applyAlignment="1" applyProtection="1">
      <alignment horizontal="center" vertical="center" wrapText="1"/>
      <protection/>
    </xf>
    <xf numFmtId="0" fontId="9" fillId="0" borderId="38" xfId="59" applyFont="1" applyBorder="1" applyAlignment="1">
      <alignment horizontal="center" vertical="center" wrapText="1"/>
      <protection/>
    </xf>
    <xf numFmtId="0" fontId="9" fillId="0" borderId="85" xfId="59" applyFont="1" applyBorder="1" applyAlignment="1">
      <alignment vertical="center" wrapText="1"/>
      <protection/>
    </xf>
    <xf numFmtId="175" fontId="49" fillId="0" borderId="13" xfId="58" applyNumberFormat="1" applyFont="1" applyFill="1" applyBorder="1" applyAlignment="1" applyProtection="1">
      <alignment horizontal="center"/>
      <protection locked="0"/>
    </xf>
    <xf numFmtId="175" fontId="49" fillId="0" borderId="0" xfId="58" applyNumberFormat="1" applyFont="1" applyFill="1" applyBorder="1" applyAlignment="1" applyProtection="1">
      <alignment horizontal="center"/>
      <protection locked="0"/>
    </xf>
    <xf numFmtId="0" fontId="6" fillId="0" borderId="0" xfId="59" applyBorder="1" applyAlignment="1">
      <alignment/>
      <protection/>
    </xf>
    <xf numFmtId="0" fontId="6" fillId="0" borderId="14" xfId="59" applyBorder="1" applyAlignment="1">
      <alignment/>
      <protection/>
    </xf>
    <xf numFmtId="171" fontId="37" fillId="25" borderId="82" xfId="58" applyNumberFormat="1" applyFont="1" applyFill="1" applyBorder="1" applyAlignment="1" applyProtection="1">
      <alignment horizontal="center"/>
      <protection/>
    </xf>
    <xf numFmtId="171" fontId="37" fillId="25" borderId="38" xfId="58" applyNumberFormat="1" applyFont="1" applyFill="1" applyBorder="1" applyAlignment="1" applyProtection="1">
      <alignment horizontal="center"/>
      <protection/>
    </xf>
    <xf numFmtId="191" fontId="63" fillId="29" borderId="74" xfId="59" applyNumberFormat="1" applyFont="1" applyFill="1" applyBorder="1" applyAlignment="1">
      <alignment horizontal="center" vertical="center"/>
      <protection/>
    </xf>
    <xf numFmtId="191" fontId="63" fillId="0" borderId="29" xfId="59" applyNumberFormat="1" applyFont="1" applyBorder="1" applyAlignment="1">
      <alignment horizontal="center" vertical="center"/>
      <protection/>
    </xf>
    <xf numFmtId="191" fontId="63" fillId="0" borderId="59" xfId="59" applyNumberFormat="1" applyFont="1" applyBorder="1" applyAlignment="1">
      <alignment horizontal="center" vertical="center"/>
      <protection/>
    </xf>
    <xf numFmtId="0" fontId="63" fillId="25" borderId="32" xfId="59" applyFont="1" applyFill="1" applyBorder="1" applyAlignment="1">
      <alignment horizontal="center" vertical="center"/>
      <protection/>
    </xf>
    <xf numFmtId="164" fontId="0" fillId="0" borderId="16" xfId="0" applyBorder="1" applyAlignment="1">
      <alignment/>
    </xf>
    <xf numFmtId="164" fontId="0" fillId="0" borderId="17" xfId="0" applyBorder="1" applyAlignment="1">
      <alignment/>
    </xf>
    <xf numFmtId="0" fontId="37" fillId="0" borderId="11" xfId="58" applyFont="1" applyBorder="1" applyAlignment="1" applyProtection="1">
      <alignment horizontal="center" vertical="center"/>
      <protection/>
    </xf>
    <xf numFmtId="0" fontId="6" fillId="0" borderId="12" xfId="59" applyBorder="1">
      <alignment/>
      <protection/>
    </xf>
    <xf numFmtId="0" fontId="37" fillId="0" borderId="69" xfId="58" applyFont="1" applyBorder="1" applyAlignment="1" applyProtection="1">
      <alignment horizontal="center" vertical="center"/>
      <protection/>
    </xf>
    <xf numFmtId="0" fontId="6" fillId="0" borderId="16" xfId="59" applyBorder="1">
      <alignment/>
      <protection/>
    </xf>
    <xf numFmtId="0" fontId="6" fillId="0" borderId="17" xfId="59" applyBorder="1">
      <alignment/>
      <protection/>
    </xf>
    <xf numFmtId="0" fontId="37" fillId="0" borderId="60" xfId="58" applyFont="1" applyBorder="1" applyAlignment="1" applyProtection="1">
      <alignment horizontal="left" wrapText="1"/>
      <protection/>
    </xf>
    <xf numFmtId="0" fontId="37" fillId="0" borderId="60" xfId="59" applyFont="1" applyBorder="1" applyAlignment="1">
      <alignment wrapText="1"/>
      <protection/>
    </xf>
    <xf numFmtId="0" fontId="37" fillId="0" borderId="60" xfId="59" applyFont="1" applyBorder="1" applyAlignment="1">
      <alignment horizontal="center" vertical="center"/>
      <protection/>
    </xf>
    <xf numFmtId="0" fontId="37" fillId="0" borderId="87" xfId="59" applyFont="1" applyBorder="1" applyAlignment="1">
      <alignment horizontal="center" vertical="center"/>
      <protection/>
    </xf>
    <xf numFmtId="0" fontId="9" fillId="0" borderId="0" xfId="58" applyFont="1" applyBorder="1" applyAlignment="1" applyProtection="1">
      <alignment/>
      <protection/>
    </xf>
    <xf numFmtId="0" fontId="9" fillId="0" borderId="82" xfId="58" applyFont="1" applyBorder="1" applyAlignment="1" applyProtection="1">
      <alignment horizontal="center" vertical="center"/>
      <protection/>
    </xf>
    <xf numFmtId="0" fontId="9" fillId="0" borderId="38" xfId="59" applyFont="1" applyBorder="1" applyAlignment="1">
      <alignment horizontal="center" vertical="center"/>
      <protection/>
    </xf>
    <xf numFmtId="45" fontId="47" fillId="33" borderId="40" xfId="58" applyNumberFormat="1" applyFont="1" applyFill="1" applyBorder="1" applyAlignment="1" applyProtection="1">
      <alignment horizontal="center" vertical="center"/>
      <protection/>
    </xf>
    <xf numFmtId="164" fontId="0" fillId="33" borderId="37" xfId="0" applyFill="1" applyBorder="1" applyAlignment="1">
      <alignment/>
    </xf>
    <xf numFmtId="164" fontId="0" fillId="33" borderId="47" xfId="0" applyFill="1" applyBorder="1" applyAlignment="1">
      <alignment/>
    </xf>
    <xf numFmtId="0" fontId="37" fillId="25" borderId="82" xfId="58" applyFont="1" applyFill="1" applyBorder="1" applyAlignment="1" applyProtection="1">
      <alignment vertical="center"/>
      <protection/>
    </xf>
    <xf numFmtId="0" fontId="37" fillId="25" borderId="38" xfId="58" applyFont="1" applyFill="1" applyBorder="1" applyAlignment="1" applyProtection="1">
      <alignment vertical="center"/>
      <protection/>
    </xf>
    <xf numFmtId="0" fontId="37" fillId="0" borderId="71" xfId="58" applyFont="1" applyBorder="1" applyAlignment="1" applyProtection="1">
      <alignment horizontal="center" vertical="center"/>
      <protection/>
    </xf>
    <xf numFmtId="0" fontId="6" fillId="0" borderId="23" xfId="59" applyBorder="1" applyAlignment="1">
      <alignment horizontal="center" vertical="center"/>
      <protection/>
    </xf>
    <xf numFmtId="0" fontId="6" fillId="0" borderId="39" xfId="59" applyBorder="1" applyAlignment="1">
      <alignment horizontal="center" vertical="center"/>
      <protection/>
    </xf>
    <xf numFmtId="0" fontId="49" fillId="0" borderId="82" xfId="58" applyFont="1" applyFill="1" applyBorder="1" applyAlignment="1" applyProtection="1">
      <alignment horizontal="left" vertical="center"/>
      <protection/>
    </xf>
    <xf numFmtId="0" fontId="49" fillId="0" borderId="38" xfId="59" applyFont="1" applyFill="1" applyBorder="1" applyAlignment="1">
      <alignment/>
      <protection/>
    </xf>
    <xf numFmtId="0" fontId="49" fillId="0" borderId="32" xfId="59" applyFont="1" applyFill="1" applyBorder="1" applyAlignment="1">
      <alignment/>
      <protection/>
    </xf>
    <xf numFmtId="0" fontId="47" fillId="25" borderId="89" xfId="59" applyFont="1" applyFill="1" applyBorder="1" applyAlignment="1">
      <alignment horizontal="center" vertical="center"/>
      <protection/>
    </xf>
    <xf numFmtId="0" fontId="105" fillId="25" borderId="31" xfId="59" applyFont="1" applyFill="1" applyBorder="1" applyAlignment="1">
      <alignment vertical="center"/>
      <protection/>
    </xf>
    <xf numFmtId="0" fontId="105" fillId="25" borderId="95" xfId="59" applyFont="1" applyFill="1" applyBorder="1" applyAlignment="1">
      <alignment vertical="center"/>
      <protection/>
    </xf>
    <xf numFmtId="191" fontId="47" fillId="28" borderId="89" xfId="59" applyNumberFormat="1" applyFont="1" applyFill="1" applyBorder="1" applyAlignment="1">
      <alignment horizontal="center" vertical="center"/>
      <protection/>
    </xf>
    <xf numFmtId="191" fontId="47" fillId="28" borderId="31" xfId="59" applyNumberFormat="1" applyFont="1" applyFill="1" applyBorder="1" applyAlignment="1">
      <alignment horizontal="center" vertical="center"/>
      <protection/>
    </xf>
    <xf numFmtId="191" fontId="47" fillId="28" borderId="95" xfId="59" applyNumberFormat="1" applyFont="1" applyFill="1" applyBorder="1" applyAlignment="1">
      <alignment horizontal="center" vertical="center"/>
      <protection/>
    </xf>
    <xf numFmtId="0" fontId="49" fillId="0" borderId="64" xfId="58" applyFont="1" applyFill="1" applyBorder="1" applyAlignment="1" applyProtection="1">
      <alignment horizontal="left"/>
      <protection/>
    </xf>
    <xf numFmtId="0" fontId="49" fillId="0" borderId="65" xfId="59" applyFont="1" applyFill="1" applyBorder="1" applyAlignment="1">
      <alignment/>
      <protection/>
    </xf>
    <xf numFmtId="0" fontId="49" fillId="0" borderId="70" xfId="59" applyFont="1" applyFill="1" applyBorder="1" applyAlignment="1">
      <alignment/>
      <protection/>
    </xf>
    <xf numFmtId="0" fontId="37" fillId="0" borderId="25" xfId="59" applyFont="1" applyFill="1" applyBorder="1" applyAlignment="1">
      <alignment horizontal="right" vertical="center"/>
      <protection/>
    </xf>
    <xf numFmtId="0" fontId="6" fillId="0" borderId="26" xfId="59" applyBorder="1" applyAlignment="1">
      <alignment horizontal="right"/>
      <protection/>
    </xf>
    <xf numFmtId="0" fontId="6" fillId="0" borderId="52" xfId="59" applyBorder="1" applyAlignment="1">
      <alignment horizontal="right"/>
      <protection/>
    </xf>
    <xf numFmtId="0" fontId="10" fillId="0" borderId="38" xfId="59" applyFont="1" applyBorder="1" applyAlignment="1">
      <alignment horizontal="center" vertical="center"/>
      <protection/>
    </xf>
    <xf numFmtId="1" fontId="49" fillId="28" borderId="38" xfId="58" applyNumberFormat="1" applyFont="1" applyFill="1" applyBorder="1" applyAlignment="1" applyProtection="1">
      <alignment horizontal="center" vertical="center"/>
      <protection locked="0"/>
    </xf>
    <xf numFmtId="1" fontId="49" fillId="28" borderId="72" xfId="58" applyNumberFormat="1" applyFont="1" applyFill="1" applyBorder="1" applyAlignment="1" applyProtection="1">
      <alignment horizontal="center" vertical="center"/>
      <protection locked="0"/>
    </xf>
    <xf numFmtId="0" fontId="37" fillId="0" borderId="65" xfId="58" applyFont="1" applyBorder="1" applyAlignment="1" applyProtection="1">
      <alignment horizontal="center" vertical="center"/>
      <protection/>
    </xf>
    <xf numFmtId="0" fontId="23" fillId="0" borderId="65" xfId="59" applyFont="1" applyBorder="1" applyAlignment="1">
      <alignment/>
      <protection/>
    </xf>
    <xf numFmtId="0" fontId="37" fillId="0" borderId="54" xfId="59" applyFont="1" applyFill="1" applyBorder="1" applyAlignment="1">
      <alignment horizontal="center"/>
      <protection/>
    </xf>
    <xf numFmtId="0" fontId="37" fillId="0" borderId="57" xfId="59" applyFont="1" applyFill="1" applyBorder="1" applyAlignment="1">
      <alignment horizontal="center"/>
      <protection/>
    </xf>
    <xf numFmtId="0" fontId="110" fillId="25" borderId="32" xfId="58" applyFont="1" applyFill="1" applyBorder="1" applyAlignment="1" applyProtection="1">
      <alignment horizontal="center" vertical="center"/>
      <protection/>
    </xf>
    <xf numFmtId="0" fontId="110" fillId="25" borderId="16" xfId="58" applyFont="1" applyFill="1" applyBorder="1" applyAlignment="1" applyProtection="1">
      <alignment horizontal="center" vertical="center"/>
      <protection/>
    </xf>
    <xf numFmtId="0" fontId="110" fillId="25" borderId="92" xfId="58" applyFont="1" applyFill="1" applyBorder="1" applyAlignment="1" applyProtection="1">
      <alignment horizontal="center" vertical="center"/>
      <protection/>
    </xf>
    <xf numFmtId="0" fontId="49" fillId="29" borderId="76" xfId="59" applyFont="1" applyFill="1" applyBorder="1" applyAlignment="1">
      <alignment horizontal="center" vertical="center" wrapText="1"/>
      <protection/>
    </xf>
    <xf numFmtId="0" fontId="69" fillId="29" borderId="29" xfId="59" applyFont="1" applyFill="1" applyBorder="1" applyAlignment="1">
      <alignment horizontal="center" vertical="center" wrapText="1"/>
      <protection/>
    </xf>
    <xf numFmtId="0" fontId="69" fillId="29" borderId="18" xfId="59" applyFont="1" applyFill="1" applyBorder="1" applyAlignment="1">
      <alignment horizontal="center" vertical="center" wrapText="1"/>
      <protection/>
    </xf>
    <xf numFmtId="0" fontId="69" fillId="29" borderId="25" xfId="59" applyFont="1" applyFill="1" applyBorder="1" applyAlignment="1">
      <alignment horizontal="center" vertical="center" wrapText="1"/>
      <protection/>
    </xf>
    <xf numFmtId="0" fontId="69" fillId="29" borderId="26" xfId="59" applyFont="1" applyFill="1" applyBorder="1" applyAlignment="1">
      <alignment horizontal="center" vertical="center" wrapText="1"/>
      <protection/>
    </xf>
    <xf numFmtId="0" fontId="69" fillId="29" borderId="52" xfId="59" applyFont="1" applyFill="1" applyBorder="1" applyAlignment="1">
      <alignment horizontal="center" vertical="center" wrapText="1"/>
      <protection/>
    </xf>
    <xf numFmtId="0" fontId="49" fillId="0" borderId="40" xfId="58" applyFont="1" applyFill="1" applyBorder="1" applyAlignment="1" applyProtection="1">
      <alignment horizontal="center" vertical="center"/>
      <protection/>
    </xf>
    <xf numFmtId="0" fontId="69" fillId="0" borderId="37" xfId="59" applyFont="1" applyBorder="1" applyAlignment="1">
      <alignment horizontal="center"/>
      <protection/>
    </xf>
    <xf numFmtId="0" fontId="55" fillId="33" borderId="40" xfId="59" applyFont="1" applyFill="1" applyBorder="1" applyAlignment="1">
      <alignment horizontal="center" vertical="center" wrapText="1"/>
      <protection/>
    </xf>
    <xf numFmtId="164" fontId="112" fillId="33" borderId="37" xfId="0" applyFont="1" applyFill="1" applyBorder="1" applyAlignment="1">
      <alignment wrapText="1"/>
    </xf>
    <xf numFmtId="164" fontId="112" fillId="33" borderId="47" xfId="0" applyFont="1" applyFill="1" applyBorder="1" applyAlignment="1">
      <alignment wrapText="1"/>
    </xf>
    <xf numFmtId="0" fontId="9" fillId="0" borderId="13" xfId="58" applyFont="1" applyFill="1" applyBorder="1" applyAlignment="1" applyProtection="1">
      <alignment horizontal="center" vertical="center"/>
      <protection/>
    </xf>
    <xf numFmtId="45" fontId="47" fillId="29" borderId="89" xfId="58" applyNumberFormat="1" applyFont="1" applyFill="1" applyBorder="1" applyAlignment="1" applyProtection="1">
      <alignment horizontal="center" vertical="center"/>
      <protection/>
    </xf>
    <xf numFmtId="164" fontId="0" fillId="0" borderId="31" xfId="0" applyBorder="1" applyAlignment="1">
      <alignment horizontal="center" vertical="center"/>
    </xf>
    <xf numFmtId="164" fontId="0" fillId="0" borderId="90" xfId="0" applyBorder="1" applyAlignment="1">
      <alignment horizontal="center" vertical="center"/>
    </xf>
    <xf numFmtId="0" fontId="37" fillId="0" borderId="67" xfId="58" applyFont="1" applyFill="1" applyBorder="1" applyAlignment="1" applyProtection="1">
      <alignment horizontal="center" vertical="center"/>
      <protection/>
    </xf>
    <xf numFmtId="0" fontId="6" fillId="0" borderId="12" xfId="59" applyBorder="1" applyAlignment="1">
      <alignment/>
      <protection/>
    </xf>
    <xf numFmtId="0" fontId="6" fillId="0" borderId="84" xfId="59" applyBorder="1" applyAlignment="1">
      <alignment/>
      <protection/>
    </xf>
    <xf numFmtId="0" fontId="6" fillId="0" borderId="24" xfId="59" applyBorder="1" applyAlignment="1">
      <alignment/>
      <protection/>
    </xf>
    <xf numFmtId="0" fontId="6" fillId="0" borderId="15" xfId="59" applyBorder="1" applyAlignment="1">
      <alignment/>
      <protection/>
    </xf>
    <xf numFmtId="0" fontId="50" fillId="29" borderId="32" xfId="58" applyFont="1" applyFill="1" applyBorder="1" applyAlignment="1" applyProtection="1">
      <alignment horizontal="left" vertical="center"/>
      <protection locked="0"/>
    </xf>
    <xf numFmtId="164" fontId="0" fillId="0" borderId="16" xfId="0" applyBorder="1" applyAlignment="1">
      <alignment horizontal="left"/>
    </xf>
    <xf numFmtId="0" fontId="54" fillId="0" borderId="71" xfId="58" applyFont="1" applyFill="1" applyBorder="1" applyAlignment="1" applyProtection="1">
      <alignment horizontal="center" vertical="center"/>
      <protection/>
    </xf>
    <xf numFmtId="0" fontId="6" fillId="0" borderId="23" xfId="59" applyBorder="1" applyAlignment="1">
      <alignment horizontal="center"/>
      <protection/>
    </xf>
    <xf numFmtId="0" fontId="6" fillId="0" borderId="39" xfId="59" applyBorder="1" applyAlignment="1">
      <alignment horizontal="center"/>
      <protection/>
    </xf>
    <xf numFmtId="171" fontId="37" fillId="25" borderId="62" xfId="58" applyNumberFormat="1" applyFont="1" applyFill="1" applyBorder="1" applyAlignment="1" applyProtection="1">
      <alignment horizontal="center"/>
      <protection/>
    </xf>
    <xf numFmtId="0" fontId="37" fillId="25" borderId="60" xfId="59" applyFont="1" applyFill="1" applyBorder="1" applyAlignment="1">
      <alignment horizontal="center"/>
      <protection/>
    </xf>
    <xf numFmtId="0" fontId="37" fillId="25" borderId="82" xfId="58" applyFont="1" applyFill="1" applyBorder="1" applyAlignment="1" applyProtection="1">
      <alignment horizontal="center" vertical="center"/>
      <protection/>
    </xf>
    <xf numFmtId="0" fontId="37" fillId="25" borderId="38" xfId="58" applyFont="1" applyFill="1" applyBorder="1" applyAlignment="1" applyProtection="1">
      <alignment horizontal="center" vertical="center"/>
      <protection/>
    </xf>
    <xf numFmtId="0" fontId="37" fillId="0" borderId="13" xfId="58" applyFont="1" applyBorder="1" applyAlignment="1" applyProtection="1">
      <alignment horizontal="center" vertical="center" wrapText="1"/>
      <protection/>
    </xf>
    <xf numFmtId="0" fontId="37" fillId="0" borderId="15" xfId="59" applyFont="1" applyBorder="1" applyAlignment="1">
      <alignment horizontal="center" vertical="center" wrapText="1"/>
      <protection/>
    </xf>
    <xf numFmtId="0" fontId="6" fillId="0" borderId="58" xfId="59" applyBorder="1" applyAlignment="1">
      <alignment horizontal="center" vertical="center"/>
      <protection/>
    </xf>
    <xf numFmtId="0" fontId="6" fillId="0" borderId="61" xfId="59" applyBorder="1" applyAlignment="1">
      <alignment horizontal="center" vertical="center"/>
      <protection/>
    </xf>
    <xf numFmtId="0" fontId="9" fillId="0" borderId="86" xfId="58" applyFont="1" applyBorder="1" applyAlignment="1" applyProtection="1">
      <alignment horizontal="center" vertical="center"/>
      <protection/>
    </xf>
    <xf numFmtId="0" fontId="9" fillId="0" borderId="85" xfId="59" applyFont="1" applyBorder="1" applyAlignment="1">
      <alignment horizontal="center" vertical="center"/>
      <protection/>
    </xf>
    <xf numFmtId="0" fontId="49" fillId="28" borderId="89" xfId="58" applyFont="1" applyFill="1" applyBorder="1" applyAlignment="1" applyProtection="1">
      <alignment horizontal="center" vertical="center"/>
      <protection/>
    </xf>
    <xf numFmtId="0" fontId="49" fillId="28" borderId="95" xfId="58" applyFont="1" applyFill="1" applyBorder="1" applyAlignment="1" applyProtection="1">
      <alignment horizontal="center" vertical="center"/>
      <protection/>
    </xf>
    <xf numFmtId="0" fontId="37" fillId="0" borderId="64" xfId="59" applyFont="1" applyBorder="1" applyAlignment="1">
      <alignment horizontal="center"/>
      <protection/>
    </xf>
    <xf numFmtId="0" fontId="6" fillId="0" borderId="65" xfId="59" applyBorder="1" applyAlignment="1">
      <alignment horizontal="center"/>
      <protection/>
    </xf>
    <xf numFmtId="45" fontId="47" fillId="28" borderId="85" xfId="58" applyNumberFormat="1" applyFont="1" applyFill="1" applyBorder="1" applyAlignment="1" applyProtection="1">
      <alignment horizontal="center" vertical="center"/>
      <protection locked="0"/>
    </xf>
    <xf numFmtId="0" fontId="47" fillId="28" borderId="85" xfId="59" applyFont="1" applyFill="1" applyBorder="1" applyAlignment="1">
      <alignment horizontal="center" vertical="center"/>
      <protection/>
    </xf>
    <xf numFmtId="0" fontId="37" fillId="0" borderId="13" xfId="58" applyFont="1" applyFill="1" applyBorder="1" applyAlignment="1" applyProtection="1">
      <alignment horizontal="center"/>
      <protection/>
    </xf>
    <xf numFmtId="0" fontId="23" fillId="0" borderId="65" xfId="59" applyFont="1" applyBorder="1" applyAlignment="1">
      <alignment horizontal="center"/>
      <protection/>
    </xf>
    <xf numFmtId="0" fontId="23" fillId="0" borderId="93" xfId="59" applyFont="1" applyBorder="1" applyAlignment="1">
      <alignment/>
      <protection/>
    </xf>
    <xf numFmtId="0" fontId="23" fillId="25" borderId="32" xfId="59" applyFont="1" applyFill="1" applyBorder="1" applyAlignment="1">
      <alignment/>
      <protection/>
    </xf>
    <xf numFmtId="0" fontId="23" fillId="25" borderId="16" xfId="59" applyFont="1" applyFill="1" applyBorder="1" applyAlignment="1">
      <alignment/>
      <protection/>
    </xf>
    <xf numFmtId="0" fontId="6" fillId="25" borderId="16" xfId="59" applyFill="1" applyBorder="1" applyAlignment="1">
      <alignment/>
      <protection/>
    </xf>
    <xf numFmtId="0" fontId="6" fillId="25" borderId="17" xfId="59" applyFill="1" applyBorder="1" applyAlignment="1">
      <alignment/>
      <protection/>
    </xf>
    <xf numFmtId="0" fontId="47" fillId="0" borderId="11" xfId="58" applyFont="1" applyBorder="1" applyAlignment="1" applyProtection="1">
      <alignment horizontal="center" vertical="center"/>
      <protection/>
    </xf>
    <xf numFmtId="0" fontId="47" fillId="0" borderId="12" xfId="58" applyFont="1" applyBorder="1" applyAlignment="1" applyProtection="1">
      <alignment horizontal="center" vertical="center"/>
      <protection/>
    </xf>
    <xf numFmtId="0" fontId="6" fillId="0" borderId="12" xfId="59" applyBorder="1" applyAlignment="1">
      <alignment horizontal="center" vertical="center"/>
      <protection/>
    </xf>
    <xf numFmtId="0" fontId="6" fillId="0" borderId="56" xfId="59" applyBorder="1" applyAlignment="1">
      <alignment horizontal="center" vertical="center"/>
      <protection/>
    </xf>
    <xf numFmtId="0" fontId="49" fillId="30" borderId="11" xfId="58" applyFont="1" applyFill="1" applyBorder="1" applyAlignment="1" applyProtection="1">
      <alignment horizontal="left" vertical="center" wrapText="1"/>
      <protection/>
    </xf>
    <xf numFmtId="164" fontId="23" fillId="30" borderId="12" xfId="0" applyFont="1" applyFill="1" applyBorder="1" applyAlignment="1">
      <alignment horizontal="left" vertical="center" wrapText="1"/>
    </xf>
    <xf numFmtId="164" fontId="23" fillId="30" borderId="56" xfId="0" applyFont="1" applyFill="1" applyBorder="1" applyAlignment="1">
      <alignment horizontal="left" vertical="center" wrapText="1"/>
    </xf>
    <xf numFmtId="0" fontId="37" fillId="0" borderId="25" xfId="58" applyFont="1" applyBorder="1" applyAlignment="1" applyProtection="1">
      <alignment horizontal="center" vertical="center"/>
      <protection/>
    </xf>
    <xf numFmtId="0" fontId="9" fillId="0" borderId="72" xfId="58" applyFont="1" applyBorder="1" applyAlignment="1" applyProtection="1">
      <alignment horizontal="center" vertical="center"/>
      <protection/>
    </xf>
    <xf numFmtId="0" fontId="49" fillId="28" borderId="67" xfId="58" applyFont="1" applyFill="1" applyBorder="1" applyAlignment="1">
      <alignment vertical="center"/>
      <protection/>
    </xf>
    <xf numFmtId="0" fontId="49" fillId="28" borderId="12" xfId="59" applyFont="1" applyFill="1" applyBorder="1">
      <alignment/>
      <protection/>
    </xf>
    <xf numFmtId="0" fontId="49" fillId="28" borderId="84" xfId="59" applyFont="1" applyFill="1" applyBorder="1">
      <alignment/>
      <protection/>
    </xf>
    <xf numFmtId="0" fontId="37" fillId="0" borderId="12" xfId="59" applyFont="1" applyFill="1" applyBorder="1" applyAlignment="1">
      <alignment horizontal="right" vertical="center"/>
      <protection/>
    </xf>
    <xf numFmtId="0" fontId="37" fillId="0" borderId="69" xfId="58" applyFont="1" applyBorder="1" applyAlignment="1" applyProtection="1">
      <alignment/>
      <protection/>
    </xf>
    <xf numFmtId="0" fontId="6" fillId="0" borderId="16" xfId="59" applyBorder="1" applyAlignment="1">
      <alignment/>
      <protection/>
    </xf>
    <xf numFmtId="0" fontId="55" fillId="0" borderId="32" xfId="59" applyFont="1" applyBorder="1" applyAlignment="1">
      <alignment horizontal="left"/>
      <protection/>
    </xf>
    <xf numFmtId="0" fontId="55" fillId="0" borderId="16" xfId="59" applyFont="1" applyBorder="1" applyAlignment="1">
      <alignment horizontal="left"/>
      <protection/>
    </xf>
    <xf numFmtId="0" fontId="6" fillId="25" borderId="92" xfId="59" applyFill="1" applyBorder="1" applyAlignment="1">
      <alignment/>
      <protection/>
    </xf>
    <xf numFmtId="0" fontId="37" fillId="25" borderId="91" xfId="58" applyFont="1" applyFill="1" applyBorder="1" applyAlignment="1" applyProtection="1">
      <alignment vertical="center"/>
      <protection/>
    </xf>
    <xf numFmtId="0" fontId="37" fillId="25" borderId="19" xfId="58" applyFont="1" applyFill="1" applyBorder="1" applyAlignment="1" applyProtection="1">
      <alignment vertical="center"/>
      <protection/>
    </xf>
    <xf numFmtId="0" fontId="49" fillId="0" borderId="91" xfId="58" applyFont="1" applyFill="1" applyBorder="1" applyAlignment="1" applyProtection="1">
      <alignment horizontal="left" vertical="center"/>
      <protection/>
    </xf>
    <xf numFmtId="0" fontId="49" fillId="0" borderId="19" xfId="59" applyFont="1" applyFill="1" applyBorder="1" applyAlignment="1">
      <alignment/>
      <protection/>
    </xf>
    <xf numFmtId="0" fontId="49" fillId="0" borderId="74" xfId="59" applyFont="1" applyFill="1" applyBorder="1" applyAlignment="1">
      <alignment/>
      <protection/>
    </xf>
    <xf numFmtId="0" fontId="23" fillId="25" borderId="30" xfId="59" applyFont="1" applyFill="1" applyBorder="1" applyAlignment="1">
      <alignment/>
      <protection/>
    </xf>
    <xf numFmtId="0" fontId="23" fillId="25" borderId="26" xfId="59" applyFont="1" applyFill="1" applyBorder="1" applyAlignment="1">
      <alignment/>
      <protection/>
    </xf>
    <xf numFmtId="0" fontId="6" fillId="25" borderId="26" xfId="59" applyFill="1" applyBorder="1" applyAlignment="1">
      <alignment/>
      <protection/>
    </xf>
    <xf numFmtId="0" fontId="6" fillId="25" borderId="52" xfId="59" applyFill="1" applyBorder="1" applyAlignment="1">
      <alignment/>
      <protection/>
    </xf>
    <xf numFmtId="0" fontId="37" fillId="0" borderId="25" xfId="58" applyFont="1" applyBorder="1" applyAlignment="1" applyProtection="1">
      <alignment/>
      <protection/>
    </xf>
    <xf numFmtId="0" fontId="6" fillId="0" borderId="26" xfId="59" applyBorder="1" applyAlignment="1">
      <alignment/>
      <protection/>
    </xf>
    <xf numFmtId="0" fontId="6" fillId="0" borderId="12" xfId="59" applyBorder="1" applyAlignment="1">
      <alignment horizontal="center"/>
      <protection/>
    </xf>
    <xf numFmtId="0" fontId="6" fillId="0" borderId="56" xfId="59" applyBorder="1" applyAlignment="1">
      <alignment horizontal="center"/>
      <protection/>
    </xf>
    <xf numFmtId="0" fontId="23" fillId="25" borderId="89" xfId="59" applyFont="1" applyFill="1" applyBorder="1" applyAlignment="1">
      <alignment/>
      <protection/>
    </xf>
    <xf numFmtId="0" fontId="6" fillId="25" borderId="31" xfId="59" applyFill="1" applyBorder="1" applyAlignment="1">
      <alignment/>
      <protection/>
    </xf>
    <xf numFmtId="0" fontId="6" fillId="25" borderId="90" xfId="59" applyFill="1" applyBorder="1" applyAlignment="1">
      <alignment/>
      <protection/>
    </xf>
    <xf numFmtId="0" fontId="55" fillId="0" borderId="89" xfId="59" applyFont="1" applyBorder="1" applyAlignment="1">
      <alignment horizontal="left"/>
      <protection/>
    </xf>
    <xf numFmtId="0" fontId="55" fillId="0" borderId="31" xfId="59" applyFont="1" applyBorder="1" applyAlignment="1">
      <alignment horizontal="left"/>
      <protection/>
    </xf>
    <xf numFmtId="0" fontId="6" fillId="0" borderId="31" xfId="59" applyBorder="1" applyAlignment="1">
      <alignment/>
      <protection/>
    </xf>
    <xf numFmtId="0" fontId="100" fillId="0" borderId="70" xfId="59" applyFont="1" applyFill="1" applyBorder="1" applyAlignment="1">
      <alignment horizontal="center" vertical="center" wrapText="1"/>
      <protection/>
    </xf>
    <xf numFmtId="0" fontId="55" fillId="0" borderId="44" xfId="59" applyFont="1" applyBorder="1" applyAlignment="1">
      <alignment horizontal="center" wrapText="1"/>
      <protection/>
    </xf>
    <xf numFmtId="0" fontId="55" fillId="0" borderId="45" xfId="59" applyFont="1" applyBorder="1" applyAlignment="1">
      <alignment horizontal="center" wrapText="1"/>
      <protection/>
    </xf>
    <xf numFmtId="0" fontId="37" fillId="0" borderId="32" xfId="59" applyFont="1" applyBorder="1" applyAlignment="1">
      <alignment horizontal="center" vertical="center"/>
      <protection/>
    </xf>
    <xf numFmtId="0" fontId="37" fillId="0" borderId="16" xfId="59" applyFont="1" applyBorder="1" applyAlignment="1">
      <alignment horizontal="center" vertical="center"/>
      <protection/>
    </xf>
    <xf numFmtId="0" fontId="37" fillId="0" borderId="17" xfId="59" applyFont="1" applyBorder="1" applyAlignment="1">
      <alignment horizontal="center" vertical="center"/>
      <protection/>
    </xf>
    <xf numFmtId="0" fontId="6" fillId="0" borderId="82" xfId="59" applyBorder="1" applyAlignment="1">
      <alignment/>
      <protection/>
    </xf>
    <xf numFmtId="0" fontId="98" fillId="0" borderId="65" xfId="59" applyFont="1" applyBorder="1" applyAlignment="1">
      <alignment horizontal="center" vertical="center"/>
      <protection/>
    </xf>
    <xf numFmtId="0" fontId="6" fillId="0" borderId="65" xfId="59" applyBorder="1" applyAlignment="1">
      <alignment horizontal="center" vertical="center"/>
      <protection/>
    </xf>
    <xf numFmtId="0" fontId="6" fillId="0" borderId="71" xfId="59" applyBorder="1" applyAlignment="1">
      <alignment/>
      <protection/>
    </xf>
    <xf numFmtId="0" fontId="6" fillId="0" borderId="23" xfId="59" applyBorder="1" applyAlignment="1">
      <alignment/>
      <protection/>
    </xf>
    <xf numFmtId="0" fontId="6" fillId="0" borderId="52" xfId="59" applyBorder="1" applyAlignment="1">
      <alignment/>
      <protection/>
    </xf>
    <xf numFmtId="0" fontId="110" fillId="25" borderId="29" xfId="58" applyFont="1" applyFill="1" applyBorder="1" applyAlignment="1" applyProtection="1">
      <alignment horizontal="center" vertical="center"/>
      <protection/>
    </xf>
    <xf numFmtId="0" fontId="110" fillId="25" borderId="59" xfId="58" applyFont="1" applyFill="1" applyBorder="1" applyAlignment="1" applyProtection="1">
      <alignment horizontal="center" vertical="center"/>
      <protection/>
    </xf>
    <xf numFmtId="0" fontId="37" fillId="0" borderId="32" xfId="59" applyFont="1" applyFill="1" applyBorder="1" applyAlignment="1">
      <alignment horizontal="center" vertical="center"/>
      <protection/>
    </xf>
    <xf numFmtId="0" fontId="37" fillId="0" borderId="16" xfId="59" applyFont="1" applyFill="1" applyBorder="1" applyAlignment="1">
      <alignment horizontal="center" vertical="center"/>
      <protection/>
    </xf>
    <xf numFmtId="0" fontId="37" fillId="0" borderId="32" xfId="58" applyFont="1" applyFill="1" applyBorder="1" applyAlignment="1" applyProtection="1">
      <alignment horizontal="center" vertical="center"/>
      <protection/>
    </xf>
    <xf numFmtId="0" fontId="37" fillId="0" borderId="16" xfId="59" applyFont="1" applyBorder="1" applyAlignment="1">
      <alignment vertical="center"/>
      <protection/>
    </xf>
    <xf numFmtId="0" fontId="37" fillId="0" borderId="17" xfId="59" applyFont="1" applyBorder="1" applyAlignment="1">
      <alignment vertical="center"/>
      <protection/>
    </xf>
    <xf numFmtId="0" fontId="37" fillId="0" borderId="92" xfId="59" applyFont="1" applyBorder="1" applyAlignment="1">
      <alignment horizontal="center" vertical="center"/>
      <protection/>
    </xf>
    <xf numFmtId="0" fontId="9" fillId="0" borderId="85" xfId="58" applyFont="1" applyBorder="1" applyAlignment="1" applyProtection="1">
      <alignment horizontal="center" vertical="center"/>
      <protection/>
    </xf>
    <xf numFmtId="0" fontId="47" fillId="28" borderId="88" xfId="59" applyFont="1" applyFill="1" applyBorder="1" applyAlignment="1">
      <alignment horizontal="center" vertical="center"/>
      <protection/>
    </xf>
    <xf numFmtId="0" fontId="23" fillId="0" borderId="16" xfId="59" applyFont="1" applyBorder="1" applyAlignment="1">
      <alignment horizontal="center" vertical="center"/>
      <protection/>
    </xf>
    <xf numFmtId="0" fontId="23" fillId="0" borderId="92" xfId="59" applyFont="1" applyBorder="1" applyAlignment="1">
      <alignment horizontal="center" vertical="center"/>
      <protection/>
    </xf>
    <xf numFmtId="0" fontId="63" fillId="25" borderId="37" xfId="59" applyFont="1" applyFill="1" applyBorder="1" applyAlignment="1">
      <alignment horizontal="center" vertical="center"/>
      <protection/>
    </xf>
    <xf numFmtId="0" fontId="64" fillId="25" borderId="37" xfId="59" applyFont="1" applyFill="1" applyBorder="1" applyAlignment="1">
      <alignment horizontal="center" vertical="center"/>
      <protection/>
    </xf>
    <xf numFmtId="0" fontId="64" fillId="25" borderId="47" xfId="59" applyFont="1" applyFill="1" applyBorder="1" applyAlignment="1">
      <alignment horizontal="center" vertical="center"/>
      <protection/>
    </xf>
    <xf numFmtId="0" fontId="63" fillId="25" borderId="26" xfId="59" applyFont="1" applyFill="1" applyBorder="1" applyAlignment="1">
      <alignment horizontal="center" vertical="center"/>
      <protection/>
    </xf>
    <xf numFmtId="0" fontId="64" fillId="25" borderId="26" xfId="59" applyFont="1" applyFill="1" applyBorder="1" applyAlignment="1">
      <alignment horizontal="center" vertical="center"/>
      <protection/>
    </xf>
    <xf numFmtId="0" fontId="64" fillId="25" borderId="27" xfId="59" applyFont="1" applyFill="1" applyBorder="1" applyAlignment="1">
      <alignment horizontal="center" vertical="center"/>
      <protection/>
    </xf>
    <xf numFmtId="0" fontId="50" fillId="25" borderId="37" xfId="59" applyFont="1" applyFill="1" applyBorder="1" applyAlignment="1">
      <alignment horizontal="left" vertical="center"/>
      <protection/>
    </xf>
    <xf numFmtId="164" fontId="69" fillId="30" borderId="12" xfId="0" applyFont="1" applyFill="1" applyBorder="1" applyAlignment="1">
      <alignment horizontal="left" wrapText="1"/>
    </xf>
    <xf numFmtId="164" fontId="69" fillId="30" borderId="56" xfId="0" applyFont="1" applyFill="1" applyBorder="1" applyAlignment="1">
      <alignment horizontal="left" wrapText="1"/>
    </xf>
    <xf numFmtId="164" fontId="69" fillId="30" borderId="25" xfId="0" applyFont="1" applyFill="1" applyBorder="1" applyAlignment="1">
      <alignment horizontal="left" wrapText="1"/>
    </xf>
    <xf numFmtId="164" fontId="69" fillId="30" borderId="26" xfId="0" applyFont="1" applyFill="1" applyBorder="1" applyAlignment="1">
      <alignment horizontal="left" wrapText="1"/>
    </xf>
    <xf numFmtId="164" fontId="69" fillId="30" borderId="27" xfId="0" applyFont="1" applyFill="1" applyBorder="1" applyAlignment="1">
      <alignment horizontal="left" wrapText="1"/>
    </xf>
    <xf numFmtId="0" fontId="47" fillId="0" borderId="25" xfId="58" applyFont="1" applyBorder="1" applyAlignment="1" applyProtection="1">
      <alignment horizontal="center" vertical="center"/>
      <protection/>
    </xf>
    <xf numFmtId="0" fontId="6" fillId="0" borderId="27" xfId="59" applyBorder="1" applyAlignment="1">
      <alignment/>
      <protection/>
    </xf>
    <xf numFmtId="0" fontId="37" fillId="0" borderId="40" xfId="58" applyFont="1" applyBorder="1" applyAlignment="1" applyProtection="1">
      <alignment vertical="center"/>
      <protection/>
    </xf>
    <xf numFmtId="0" fontId="37" fillId="0" borderId="25" xfId="58" applyFont="1" applyBorder="1" applyAlignment="1" applyProtection="1">
      <alignment vertical="center"/>
      <protection/>
    </xf>
    <xf numFmtId="0" fontId="6" fillId="0" borderId="26" xfId="59" applyBorder="1" applyAlignment="1">
      <alignment vertical="center"/>
      <protection/>
    </xf>
    <xf numFmtId="0" fontId="63" fillId="25" borderId="26" xfId="59" applyFont="1" applyFill="1" applyBorder="1" applyAlignment="1">
      <alignment horizontal="left" vertical="center"/>
      <protection/>
    </xf>
    <xf numFmtId="0" fontId="37" fillId="0" borderId="26" xfId="58" applyFont="1" applyFill="1" applyBorder="1" applyAlignment="1" applyProtection="1">
      <alignment horizontal="center" vertical="center"/>
      <protection/>
    </xf>
    <xf numFmtId="0" fontId="6" fillId="0" borderId="26" xfId="59" applyBorder="1" applyAlignment="1">
      <alignment horizontal="center" vertical="center"/>
      <protection/>
    </xf>
    <xf numFmtId="0" fontId="6" fillId="0" borderId="47" xfId="59" applyBorder="1" applyAlignment="1">
      <alignment/>
      <protection/>
    </xf>
    <xf numFmtId="164" fontId="55" fillId="0" borderId="40" xfId="59" applyNumberFormat="1" applyFont="1" applyFill="1" applyBorder="1" applyAlignment="1" applyProtection="1">
      <alignment horizontal="center" vertical="center"/>
      <protection/>
    </xf>
    <xf numFmtId="0" fontId="56" fillId="0" borderId="37" xfId="59" applyFont="1" applyBorder="1" applyAlignment="1">
      <alignment horizontal="center" vertical="center"/>
      <protection/>
    </xf>
    <xf numFmtId="0" fontId="56" fillId="0" borderId="47" xfId="59" applyFont="1" applyBorder="1" applyAlignment="1">
      <alignment horizontal="center" vertical="center"/>
      <protection/>
    </xf>
    <xf numFmtId="0" fontId="6" fillId="0" borderId="34" xfId="58" applyFont="1" applyFill="1" applyBorder="1" applyAlignment="1" applyProtection="1">
      <alignment/>
      <protection/>
    </xf>
    <xf numFmtId="0" fontId="6" fillId="0" borderId="34" xfId="59" applyBorder="1" applyAlignment="1">
      <alignment/>
      <protection/>
    </xf>
    <xf numFmtId="46" fontId="63" fillId="29" borderId="54" xfId="58" applyNumberFormat="1" applyFont="1" applyFill="1" applyBorder="1" applyAlignment="1" applyProtection="1">
      <alignment horizontal="center" vertical="center"/>
      <protection/>
    </xf>
    <xf numFmtId="164" fontId="64" fillId="29" borderId="57" xfId="59" applyNumberFormat="1" applyFont="1" applyFill="1" applyBorder="1" applyAlignment="1">
      <alignment vertical="center"/>
      <protection/>
    </xf>
    <xf numFmtId="164" fontId="64" fillId="29" borderId="55" xfId="59" applyNumberFormat="1" applyFont="1" applyFill="1" applyBorder="1" applyAlignment="1">
      <alignment vertical="center"/>
      <protection/>
    </xf>
    <xf numFmtId="21" fontId="55" fillId="0" borderId="40" xfId="58" applyNumberFormat="1" applyFont="1" applyFill="1" applyBorder="1" applyAlignment="1" applyProtection="1">
      <alignment horizontal="center" vertical="center" wrapText="1"/>
      <protection/>
    </xf>
    <xf numFmtId="21" fontId="103" fillId="0" borderId="37" xfId="59" applyNumberFormat="1" applyFont="1" applyFill="1" applyBorder="1" applyAlignment="1">
      <alignment horizontal="center" vertical="center" wrapText="1"/>
      <protection/>
    </xf>
    <xf numFmtId="21" fontId="103" fillId="0" borderId="47" xfId="59" applyNumberFormat="1" applyFont="1" applyFill="1" applyBorder="1" applyAlignment="1">
      <alignment horizontal="center" vertical="center" wrapText="1"/>
      <protection/>
    </xf>
    <xf numFmtId="1" fontId="63" fillId="25" borderId="11" xfId="58" applyNumberFormat="1" applyFont="1" applyFill="1" applyBorder="1" applyAlignment="1" applyProtection="1">
      <alignment horizontal="center"/>
      <protection/>
    </xf>
    <xf numFmtId="0" fontId="64" fillId="25" borderId="12" xfId="59" applyFont="1" applyFill="1" applyBorder="1" applyAlignment="1">
      <alignment horizontal="center"/>
      <protection/>
    </xf>
    <xf numFmtId="0" fontId="64" fillId="25" borderId="56" xfId="59" applyFont="1" applyFill="1" applyBorder="1" applyAlignment="1">
      <alignment horizontal="center"/>
      <protection/>
    </xf>
    <xf numFmtId="164" fontId="54" fillId="0" borderId="13" xfId="59" applyNumberFormat="1" applyFont="1" applyFill="1" applyBorder="1" applyAlignment="1" applyProtection="1">
      <alignment horizontal="center"/>
      <protection/>
    </xf>
    <xf numFmtId="164" fontId="54" fillId="0" borderId="0" xfId="59" applyNumberFormat="1" applyFont="1" applyFill="1" applyBorder="1" applyAlignment="1" applyProtection="1">
      <alignment horizontal="center"/>
      <protection/>
    </xf>
    <xf numFmtId="164" fontId="54" fillId="0" borderId="14" xfId="59" applyNumberFormat="1" applyFont="1" applyFill="1" applyBorder="1" applyAlignment="1" applyProtection="1">
      <alignment horizontal="center"/>
      <protection/>
    </xf>
    <xf numFmtId="1" fontId="63" fillId="29" borderId="54" xfId="58" applyNumberFormat="1" applyFont="1" applyFill="1" applyBorder="1" applyAlignment="1" applyProtection="1">
      <alignment horizontal="center"/>
      <protection/>
    </xf>
    <xf numFmtId="1" fontId="63" fillId="29" borderId="57" xfId="58" applyNumberFormat="1" applyFont="1" applyFill="1" applyBorder="1" applyAlignment="1" applyProtection="1">
      <alignment horizontal="center"/>
      <protection/>
    </xf>
    <xf numFmtId="0" fontId="63" fillId="0" borderId="25" xfId="58" applyFont="1" applyBorder="1" applyAlignment="1" applyProtection="1">
      <alignment horizontal="center" vertical="center"/>
      <protection/>
    </xf>
    <xf numFmtId="0" fontId="63" fillId="0" borderId="26" xfId="58" applyFont="1" applyBorder="1" applyAlignment="1" applyProtection="1">
      <alignment horizontal="center" vertical="center"/>
      <protection/>
    </xf>
    <xf numFmtId="0" fontId="64" fillId="0" borderId="26" xfId="59" applyFont="1" applyBorder="1" applyAlignment="1">
      <alignment/>
      <protection/>
    </xf>
    <xf numFmtId="0" fontId="37" fillId="0" borderId="37" xfId="58" applyFont="1" applyFill="1" applyBorder="1" applyAlignment="1" applyProtection="1">
      <alignment horizontal="center" vertical="center"/>
      <protection/>
    </xf>
    <xf numFmtId="0" fontId="6" fillId="0" borderId="37" xfId="59" applyBorder="1" applyAlignment="1">
      <alignment horizontal="center" vertical="center"/>
      <protection/>
    </xf>
    <xf numFmtId="1" fontId="63" fillId="29" borderId="11" xfId="58" applyNumberFormat="1" applyFont="1" applyFill="1" applyBorder="1" applyAlignment="1" applyProtection="1">
      <alignment horizontal="center" vertical="center"/>
      <protection/>
    </xf>
    <xf numFmtId="1" fontId="64" fillId="29" borderId="12" xfId="59" applyNumberFormat="1" applyFont="1" applyFill="1" applyBorder="1">
      <alignment/>
      <protection/>
    </xf>
    <xf numFmtId="1" fontId="64" fillId="29" borderId="56" xfId="59" applyNumberFormat="1" applyFont="1" applyFill="1" applyBorder="1">
      <alignment/>
      <protection/>
    </xf>
    <xf numFmtId="21" fontId="55" fillId="0" borderId="11" xfId="58" applyNumberFormat="1" applyFont="1" applyFill="1" applyBorder="1" applyAlignment="1" applyProtection="1">
      <alignment horizontal="center"/>
      <protection/>
    </xf>
    <xf numFmtId="0" fontId="6" fillId="0" borderId="12" xfId="59" applyFill="1" applyBorder="1" applyAlignment="1">
      <alignment horizontal="center"/>
      <protection/>
    </xf>
    <xf numFmtId="1" fontId="9" fillId="0" borderId="11" xfId="58" applyNumberFormat="1" applyFont="1" applyFill="1" applyBorder="1" applyAlignment="1" applyProtection="1">
      <alignment horizontal="center"/>
      <protection/>
    </xf>
    <xf numFmtId="0" fontId="6" fillId="0" borderId="56" xfId="59" applyFill="1" applyBorder="1" applyAlignment="1">
      <alignment horizontal="center"/>
      <protection/>
    </xf>
    <xf numFmtId="0" fontId="63" fillId="29" borderId="55" xfId="58" applyNumberFormat="1" applyFont="1" applyFill="1" applyBorder="1" applyAlignment="1" applyProtection="1">
      <alignment horizontal="center"/>
      <protection/>
    </xf>
    <xf numFmtId="174" fontId="63" fillId="25" borderId="43" xfId="58" applyNumberFormat="1" applyFont="1" applyFill="1" applyBorder="1" applyAlignment="1" applyProtection="1">
      <alignment horizontal="center" vertical="center"/>
      <protection/>
    </xf>
    <xf numFmtId="174" fontId="64" fillId="25" borderId="44" xfId="59" applyNumberFormat="1" applyFont="1" applyFill="1" applyBorder="1" applyAlignment="1">
      <alignment horizontal="center" vertical="center"/>
      <protection/>
    </xf>
    <xf numFmtId="174" fontId="64" fillId="25" borderId="45" xfId="59" applyNumberFormat="1" applyFont="1" applyFill="1" applyBorder="1" applyAlignment="1">
      <alignment horizontal="center" vertical="center"/>
      <protection/>
    </xf>
    <xf numFmtId="191" fontId="63" fillId="29" borderId="43" xfId="58" applyNumberFormat="1" applyFont="1" applyFill="1" applyBorder="1" applyAlignment="1" applyProtection="1">
      <alignment horizontal="center" vertical="center"/>
      <protection/>
    </xf>
    <xf numFmtId="191" fontId="108" fillId="29" borderId="44" xfId="59" applyNumberFormat="1" applyFont="1" applyFill="1" applyBorder="1" applyAlignment="1">
      <alignment horizontal="center" vertical="center"/>
      <protection/>
    </xf>
    <xf numFmtId="191" fontId="108" fillId="29" borderId="45" xfId="59" applyNumberFormat="1" applyFont="1" applyFill="1" applyBorder="1" applyAlignment="1">
      <alignment horizontal="center" vertical="center"/>
      <protection/>
    </xf>
    <xf numFmtId="0" fontId="51" fillId="0" borderId="0" xfId="58" applyFont="1" applyFill="1" applyBorder="1" applyAlignment="1" applyProtection="1">
      <alignment horizontal="center" vertical="center"/>
      <protection/>
    </xf>
    <xf numFmtId="164" fontId="6" fillId="0" borderId="0" xfId="59" applyNumberFormat="1" applyFill="1" applyBorder="1" applyAlignment="1">
      <alignment horizontal="center" vertical="center"/>
      <protection/>
    </xf>
    <xf numFmtId="0" fontId="6" fillId="0" borderId="0" xfId="58" applyFont="1" applyFill="1" applyBorder="1" applyAlignment="1" applyProtection="1">
      <alignment horizontal="center" vertical="center"/>
      <protection/>
    </xf>
    <xf numFmtId="0" fontId="37" fillId="0" borderId="11" xfId="58" applyFont="1" applyFill="1" applyBorder="1" applyAlignment="1" applyProtection="1">
      <alignment horizontal="left" vertical="center"/>
      <protection/>
    </xf>
    <xf numFmtId="0" fontId="9" fillId="0" borderId="12" xfId="59" applyFont="1" applyBorder="1" applyAlignment="1">
      <alignment horizontal="left"/>
      <protection/>
    </xf>
    <xf numFmtId="0" fontId="9" fillId="0" borderId="56" xfId="59" applyFont="1" applyBorder="1" applyAlignment="1">
      <alignment horizontal="left"/>
      <protection/>
    </xf>
    <xf numFmtId="0" fontId="37" fillId="0" borderId="40" xfId="58" applyFont="1" applyFill="1" applyBorder="1" applyAlignment="1" applyProtection="1">
      <alignment horizontal="left" vertical="center"/>
      <protection/>
    </xf>
    <xf numFmtId="0" fontId="37" fillId="0" borderId="37" xfId="58" applyFont="1" applyFill="1" applyBorder="1" applyAlignment="1" applyProtection="1">
      <alignment horizontal="left" vertical="center"/>
      <protection/>
    </xf>
    <xf numFmtId="0" fontId="37" fillId="0" borderId="47" xfId="58" applyFont="1" applyFill="1" applyBorder="1" applyAlignment="1" applyProtection="1">
      <alignment horizontal="left" vertical="center"/>
      <protection/>
    </xf>
    <xf numFmtId="1" fontId="63" fillId="29" borderId="40" xfId="58" applyNumberFormat="1" applyFont="1" applyFill="1" applyBorder="1" applyAlignment="1" applyProtection="1">
      <alignment horizontal="center" vertical="center"/>
      <protection/>
    </xf>
    <xf numFmtId="1" fontId="64" fillId="29" borderId="37" xfId="59" applyNumberFormat="1" applyFont="1" applyFill="1" applyBorder="1" applyAlignment="1">
      <alignment horizontal="center" vertical="center"/>
      <protection/>
    </xf>
    <xf numFmtId="1" fontId="64" fillId="29" borderId="37" xfId="59" applyNumberFormat="1" applyFont="1" applyFill="1" applyBorder="1" applyAlignment="1">
      <alignment horizontal="center"/>
      <protection/>
    </xf>
    <xf numFmtId="1" fontId="64" fillId="29" borderId="47" xfId="59" applyNumberFormat="1" applyFont="1" applyFill="1" applyBorder="1" applyAlignment="1">
      <alignment horizontal="center"/>
      <protection/>
    </xf>
    <xf numFmtId="175" fontId="63" fillId="29" borderId="40" xfId="58" applyNumberFormat="1" applyFont="1" applyFill="1" applyBorder="1" applyAlignment="1" applyProtection="1">
      <alignment horizontal="center" vertical="center"/>
      <protection/>
    </xf>
    <xf numFmtId="175" fontId="64" fillId="29" borderId="37" xfId="59" applyNumberFormat="1" applyFont="1" applyFill="1" applyBorder="1" applyAlignment="1">
      <alignment horizontal="center" vertical="center"/>
      <protection/>
    </xf>
    <xf numFmtId="175" fontId="64" fillId="29" borderId="37" xfId="59" applyNumberFormat="1" applyFont="1" applyFill="1" applyBorder="1" applyAlignment="1">
      <alignment horizontal="center"/>
      <protection/>
    </xf>
    <xf numFmtId="175" fontId="64" fillId="29" borderId="47" xfId="59" applyNumberFormat="1" applyFont="1" applyFill="1" applyBorder="1" applyAlignment="1">
      <alignment horizontal="center"/>
      <protection/>
    </xf>
    <xf numFmtId="171" fontId="106" fillId="29" borderId="40" xfId="58" applyNumberFormat="1" applyFont="1" applyFill="1" applyBorder="1" applyAlignment="1" applyProtection="1">
      <alignment horizontal="center" vertical="center"/>
      <protection/>
    </xf>
    <xf numFmtId="171" fontId="107" fillId="29" borderId="37" xfId="59" applyNumberFormat="1" applyFont="1" applyFill="1" applyBorder="1" applyAlignment="1">
      <alignment horizontal="center" vertical="center"/>
      <protection/>
    </xf>
    <xf numFmtId="171" fontId="107" fillId="29" borderId="37" xfId="59" applyNumberFormat="1" applyFont="1" applyFill="1" applyBorder="1" applyAlignment="1">
      <alignment horizontal="center"/>
      <protection/>
    </xf>
    <xf numFmtId="171" fontId="107" fillId="29" borderId="47" xfId="59" applyNumberFormat="1" applyFont="1" applyFill="1" applyBorder="1" applyAlignment="1">
      <alignment horizontal="center"/>
      <protection/>
    </xf>
    <xf numFmtId="0" fontId="50" fillId="0" borderId="40" xfId="58" applyFont="1" applyFill="1" applyBorder="1" applyAlignment="1" applyProtection="1">
      <alignment horizontal="center" vertical="center"/>
      <protection/>
    </xf>
    <xf numFmtId="0" fontId="70" fillId="0" borderId="37" xfId="59" applyFont="1" applyBorder="1" applyAlignment="1">
      <alignment horizontal="center"/>
      <protection/>
    </xf>
    <xf numFmtId="0" fontId="70" fillId="0" borderId="47" xfId="59" applyFont="1" applyBorder="1" applyAlignment="1">
      <alignment horizontal="center"/>
      <protection/>
    </xf>
    <xf numFmtId="178" fontId="63" fillId="29" borderId="40" xfId="58" applyNumberFormat="1" applyFont="1" applyFill="1" applyBorder="1" applyAlignment="1" applyProtection="1">
      <alignment horizontal="center" vertical="center"/>
      <protection/>
    </xf>
    <xf numFmtId="178" fontId="64" fillId="29" borderId="37" xfId="59" applyNumberFormat="1" applyFont="1" applyFill="1" applyBorder="1" applyAlignment="1">
      <alignment horizontal="center" vertical="center"/>
      <protection/>
    </xf>
    <xf numFmtId="178" fontId="64" fillId="29" borderId="37" xfId="59" applyNumberFormat="1" applyFont="1" applyFill="1" applyBorder="1" applyAlignment="1">
      <alignment horizontal="center"/>
      <protection/>
    </xf>
    <xf numFmtId="178" fontId="64" fillId="29" borderId="47" xfId="59" applyNumberFormat="1" applyFont="1" applyFill="1" applyBorder="1" applyAlignment="1">
      <alignment horizontal="center"/>
      <protection/>
    </xf>
    <xf numFmtId="0" fontId="6" fillId="0" borderId="37" xfId="59" applyBorder="1" applyAlignment="1">
      <alignment horizontal="center"/>
      <protection/>
    </xf>
    <xf numFmtId="0" fontId="6" fillId="0" borderId="47" xfId="59" applyBorder="1" applyAlignment="1">
      <alignment horizontal="center"/>
      <protection/>
    </xf>
    <xf numFmtId="0" fontId="6" fillId="0" borderId="37" xfId="59" applyBorder="1" applyAlignment="1">
      <alignment horizontal="left"/>
      <protection/>
    </xf>
    <xf numFmtId="0" fontId="6" fillId="0" borderId="47" xfId="59" applyBorder="1" applyAlignment="1">
      <alignment horizontal="left"/>
      <protection/>
    </xf>
    <xf numFmtId="164" fontId="37" fillId="0" borderId="40" xfId="59" applyNumberFormat="1" applyFont="1" applyFill="1" applyBorder="1" applyAlignment="1" applyProtection="1">
      <alignment horizontal="center" vertical="center"/>
      <protection/>
    </xf>
    <xf numFmtId="0" fontId="23" fillId="0" borderId="37" xfId="59" applyFont="1" applyBorder="1" applyAlignment="1">
      <alignment horizontal="center" vertical="center"/>
      <protection/>
    </xf>
    <xf numFmtId="0" fontId="23" fillId="0" borderId="47" xfId="59" applyFont="1" applyBorder="1" applyAlignment="1">
      <alignment horizontal="center" vertical="center"/>
      <protection/>
    </xf>
    <xf numFmtId="191" fontId="47" fillId="29" borderId="40" xfId="59" applyNumberFormat="1" applyFont="1" applyFill="1" applyBorder="1" applyAlignment="1" applyProtection="1">
      <alignment horizontal="center" vertical="center"/>
      <protection/>
    </xf>
    <xf numFmtId="191" fontId="47" fillId="29" borderId="37" xfId="59" applyNumberFormat="1" applyFont="1" applyFill="1" applyBorder="1" applyAlignment="1" applyProtection="1">
      <alignment horizontal="center" vertical="center"/>
      <protection/>
    </xf>
    <xf numFmtId="191" fontId="105" fillId="29" borderId="47" xfId="59" applyNumberFormat="1" applyFont="1" applyFill="1" applyBorder="1" applyAlignment="1">
      <alignment horizontal="center" vertical="center"/>
      <protection/>
    </xf>
    <xf numFmtId="1" fontId="63" fillId="29" borderId="40" xfId="59" applyNumberFormat="1" applyFont="1" applyFill="1" applyBorder="1" applyAlignment="1" applyProtection="1">
      <alignment horizontal="center" vertical="center"/>
      <protection/>
    </xf>
    <xf numFmtId="1" fontId="63" fillId="29" borderId="37" xfId="59" applyNumberFormat="1" applyFont="1" applyFill="1" applyBorder="1" applyAlignment="1" applyProtection="1">
      <alignment horizontal="center" vertical="center"/>
      <protection/>
    </xf>
    <xf numFmtId="174" fontId="109" fillId="25" borderId="40" xfId="58" applyNumberFormat="1" applyFont="1" applyFill="1" applyBorder="1" applyAlignment="1" applyProtection="1">
      <alignment horizontal="center" vertical="center"/>
      <protection/>
    </xf>
    <xf numFmtId="174" fontId="109" fillId="25" borderId="37" xfId="58" applyNumberFormat="1" applyFont="1" applyFill="1" applyBorder="1" applyAlignment="1" applyProtection="1">
      <alignment horizontal="center" vertical="center"/>
      <protection/>
    </xf>
    <xf numFmtId="174" fontId="109" fillId="25" borderId="47" xfId="58" applyNumberFormat="1" applyFont="1" applyFill="1" applyBorder="1" applyAlignment="1" applyProtection="1">
      <alignment horizontal="center" vertical="center"/>
      <protection/>
    </xf>
    <xf numFmtId="0" fontId="6" fillId="0" borderId="37" xfId="59" applyFill="1" applyBorder="1" applyAlignment="1">
      <alignment horizontal="center" vertical="center" wrapText="1"/>
      <protection/>
    </xf>
    <xf numFmtId="191" fontId="64" fillId="29" borderId="44" xfId="59" applyNumberFormat="1" applyFont="1" applyFill="1" applyBorder="1" applyAlignment="1">
      <alignment horizontal="center" vertical="center"/>
      <protection/>
    </xf>
    <xf numFmtId="191" fontId="64" fillId="29" borderId="45" xfId="59" applyNumberFormat="1" applyFont="1" applyFill="1" applyBorder="1" applyAlignment="1">
      <alignment horizontal="center" vertical="center"/>
      <protection/>
    </xf>
    <xf numFmtId="1" fontId="63" fillId="29" borderId="64" xfId="58" applyNumberFormat="1" applyFont="1" applyFill="1" applyBorder="1" applyAlignment="1" applyProtection="1">
      <alignment horizontal="center"/>
      <protection/>
    </xf>
    <xf numFmtId="1" fontId="63" fillId="29" borderId="65" xfId="58" applyNumberFormat="1" applyFont="1" applyFill="1" applyBorder="1" applyAlignment="1" applyProtection="1">
      <alignment horizontal="center"/>
      <protection/>
    </xf>
    <xf numFmtId="0" fontId="6" fillId="0" borderId="56" xfId="59" applyBorder="1" applyAlignment="1">
      <alignment/>
      <protection/>
    </xf>
    <xf numFmtId="0" fontId="37" fillId="0" borderId="12" xfId="58" applyFont="1" applyBorder="1" applyAlignment="1" applyProtection="1">
      <alignment horizontal="center" vertical="center"/>
      <protection/>
    </xf>
    <xf numFmtId="0" fontId="37" fillId="0" borderId="56" xfId="58" applyFont="1" applyBorder="1" applyAlignment="1" applyProtection="1">
      <alignment horizontal="center" vertical="center"/>
      <protection/>
    </xf>
    <xf numFmtId="0" fontId="37" fillId="0" borderId="73" xfId="58" applyFont="1" applyFill="1" applyBorder="1" applyAlignment="1" applyProtection="1">
      <alignment horizontal="center" vertical="center"/>
      <protection/>
    </xf>
    <xf numFmtId="0" fontId="37" fillId="0" borderId="28" xfId="58" applyFont="1" applyFill="1" applyBorder="1" applyAlignment="1" applyProtection="1">
      <alignment horizontal="center" vertical="center"/>
      <protection/>
    </xf>
    <xf numFmtId="0" fontId="37" fillId="0" borderId="63" xfId="58" applyFont="1" applyFill="1" applyBorder="1" applyAlignment="1" applyProtection="1">
      <alignment horizontal="center" vertical="center"/>
      <protection/>
    </xf>
    <xf numFmtId="0" fontId="37" fillId="0" borderId="58" xfId="58" applyFont="1" applyBorder="1" applyAlignment="1" applyProtection="1">
      <alignment horizontal="center" vertical="center"/>
      <protection/>
    </xf>
    <xf numFmtId="0" fontId="37" fillId="0" borderId="28" xfId="58" applyFont="1" applyBorder="1" applyAlignment="1" applyProtection="1">
      <alignment horizontal="center" vertical="center"/>
      <protection/>
    </xf>
    <xf numFmtId="0" fontId="37" fillId="0" borderId="63" xfId="58" applyFont="1" applyBorder="1" applyAlignment="1" applyProtection="1">
      <alignment horizontal="center" vertical="center"/>
      <protection/>
    </xf>
    <xf numFmtId="0" fontId="37" fillId="0" borderId="76" xfId="58" applyFont="1" applyFill="1" applyBorder="1" applyAlignment="1" applyProtection="1">
      <alignment horizontal="center" vertical="center"/>
      <protection/>
    </xf>
    <xf numFmtId="0" fontId="37" fillId="0" borderId="29" xfId="58" applyFont="1" applyFill="1" applyBorder="1" applyAlignment="1" applyProtection="1">
      <alignment horizontal="center" vertical="center"/>
      <protection/>
    </xf>
    <xf numFmtId="0" fontId="23" fillId="0" borderId="29" xfId="59" applyFont="1" applyBorder="1" applyAlignment="1">
      <alignment horizontal="center" vertical="center"/>
      <protection/>
    </xf>
    <xf numFmtId="0" fontId="23" fillId="0" borderId="59" xfId="59" applyFont="1" applyBorder="1" applyAlignment="1">
      <alignment horizontal="center" vertical="center"/>
      <protection/>
    </xf>
    <xf numFmtId="191" fontId="63" fillId="29" borderId="40" xfId="59" applyNumberFormat="1" applyFont="1" applyFill="1" applyBorder="1" applyAlignment="1">
      <alignment horizontal="center" vertical="center"/>
      <protection/>
    </xf>
    <xf numFmtId="191" fontId="63" fillId="29" borderId="37" xfId="59" applyNumberFormat="1" applyFont="1" applyFill="1" applyBorder="1" applyAlignment="1">
      <alignment horizontal="center" vertical="center"/>
      <protection/>
    </xf>
    <xf numFmtId="191" fontId="63" fillId="29" borderId="47" xfId="59" applyNumberFormat="1" applyFont="1" applyFill="1" applyBorder="1" applyAlignment="1">
      <alignment horizontal="center" vertical="center"/>
      <protection/>
    </xf>
    <xf numFmtId="0" fontId="37" fillId="0" borderId="43" xfId="58" applyFont="1" applyFill="1" applyBorder="1" applyAlignment="1" applyProtection="1">
      <alignment horizontal="center" vertical="center"/>
      <protection/>
    </xf>
    <xf numFmtId="0" fontId="37" fillId="0" borderId="44" xfId="58" applyFont="1" applyFill="1" applyBorder="1" applyAlignment="1" applyProtection="1">
      <alignment horizontal="center" vertical="center"/>
      <protection/>
    </xf>
    <xf numFmtId="0" fontId="37" fillId="0" borderId="45" xfId="58" applyFont="1" applyFill="1" applyBorder="1" applyAlignment="1" applyProtection="1">
      <alignment horizontal="center" vertical="center"/>
      <protection/>
    </xf>
    <xf numFmtId="21" fontId="63" fillId="25" borderId="40" xfId="58" applyNumberFormat="1" applyFont="1" applyFill="1" applyBorder="1" applyAlignment="1" applyProtection="1">
      <alignment horizontal="center" vertical="center"/>
      <protection locked="0"/>
    </xf>
    <xf numFmtId="21" fontId="63" fillId="25" borderId="37" xfId="59" applyNumberFormat="1" applyFont="1" applyFill="1" applyBorder="1" applyAlignment="1">
      <alignment horizontal="center" vertical="center"/>
      <protection/>
    </xf>
    <xf numFmtId="21" fontId="63" fillId="25" borderId="47" xfId="59" applyNumberFormat="1" applyFont="1" applyFill="1" applyBorder="1" applyAlignment="1">
      <alignment horizontal="center" vertical="center"/>
      <protection/>
    </xf>
    <xf numFmtId="164" fontId="37" fillId="0" borderId="44" xfId="59" applyNumberFormat="1" applyFont="1" applyFill="1" applyBorder="1" applyAlignment="1">
      <alignment horizontal="center" vertical="center"/>
      <protection/>
    </xf>
    <xf numFmtId="164" fontId="37" fillId="0" borderId="45" xfId="59" applyNumberFormat="1" applyFont="1" applyFill="1" applyBorder="1" applyAlignment="1">
      <alignment horizontal="center" vertical="center"/>
      <protection/>
    </xf>
    <xf numFmtId="0" fontId="37" fillId="0" borderId="40" xfId="58" applyFont="1" applyBorder="1" applyAlignment="1" applyProtection="1">
      <alignment horizontal="center" vertical="center"/>
      <protection/>
    </xf>
    <xf numFmtId="0" fontId="37" fillId="0" borderId="37" xfId="58" applyFont="1" applyBorder="1" applyAlignment="1" applyProtection="1">
      <alignment horizontal="center" vertical="center"/>
      <protection/>
    </xf>
    <xf numFmtId="0" fontId="37" fillId="0" borderId="47" xfId="58" applyFont="1" applyBorder="1" applyAlignment="1" applyProtection="1">
      <alignment horizontal="center" vertical="center"/>
      <protection/>
    </xf>
    <xf numFmtId="164" fontId="23" fillId="0" borderId="37" xfId="59" applyNumberFormat="1" applyFont="1" applyBorder="1" applyAlignment="1">
      <alignment/>
      <protection/>
    </xf>
    <xf numFmtId="164" fontId="23" fillId="0" borderId="47" xfId="59" applyNumberFormat="1" applyFont="1" applyBorder="1" applyAlignment="1">
      <alignment/>
      <protection/>
    </xf>
    <xf numFmtId="0" fontId="37" fillId="0" borderId="64" xfId="58" applyFont="1" applyFill="1" applyBorder="1" applyAlignment="1" applyProtection="1">
      <alignment horizontal="center" wrapText="1"/>
      <protection/>
    </xf>
    <xf numFmtId="0" fontId="23" fillId="0" borderId="65" xfId="59" applyFont="1" applyBorder="1" applyAlignment="1">
      <alignment wrapText="1"/>
      <protection/>
    </xf>
    <xf numFmtId="0" fontId="23" fillId="0" borderId="93" xfId="59" applyFont="1" applyBorder="1" applyAlignment="1">
      <alignment wrapText="1"/>
      <protection/>
    </xf>
    <xf numFmtId="0" fontId="23" fillId="0" borderId="82" xfId="59" applyFont="1" applyBorder="1" applyAlignment="1">
      <alignment wrapText="1"/>
      <protection/>
    </xf>
    <xf numFmtId="0" fontId="23" fillId="0" borderId="38" xfId="59" applyFont="1" applyBorder="1" applyAlignment="1">
      <alignment wrapText="1"/>
      <protection/>
    </xf>
    <xf numFmtId="0" fontId="23" fillId="0" borderId="72" xfId="59" applyFont="1" applyBorder="1" applyAlignment="1">
      <alignment wrapText="1"/>
      <protection/>
    </xf>
    <xf numFmtId="0" fontId="37" fillId="0" borderId="76" xfId="59" applyFont="1" applyBorder="1" applyAlignment="1">
      <alignment horizontal="center" vertical="center"/>
      <protection/>
    </xf>
    <xf numFmtId="0" fontId="37" fillId="0" borderId="42" xfId="58" applyFont="1" applyFill="1" applyBorder="1" applyAlignment="1" applyProtection="1">
      <alignment horizontal="center" vertical="center"/>
      <protection/>
    </xf>
    <xf numFmtId="0" fontId="37" fillId="0" borderId="96" xfId="58" applyFont="1" applyFill="1" applyBorder="1" applyAlignment="1" applyProtection="1">
      <alignment horizontal="center" vertical="center"/>
      <protection/>
    </xf>
    <xf numFmtId="0" fontId="37" fillId="0" borderId="19" xfId="58" applyFont="1" applyFill="1" applyBorder="1" applyAlignment="1" applyProtection="1">
      <alignment horizontal="center" vertical="center"/>
      <protection/>
    </xf>
    <xf numFmtId="0" fontId="37" fillId="0" borderId="11" xfId="58" applyFont="1" applyBorder="1" applyAlignment="1" applyProtection="1">
      <alignment horizontal="center" wrapText="1"/>
      <protection/>
    </xf>
    <xf numFmtId="0" fontId="37" fillId="0" borderId="12" xfId="58" applyFont="1" applyBorder="1" applyAlignment="1" applyProtection="1">
      <alignment horizontal="center" wrapText="1"/>
      <protection/>
    </xf>
    <xf numFmtId="0" fontId="37" fillId="0" borderId="56" xfId="58" applyFont="1" applyBorder="1" applyAlignment="1" applyProtection="1">
      <alignment horizontal="center" wrapText="1"/>
      <protection/>
    </xf>
    <xf numFmtId="0" fontId="37" fillId="0" borderId="13" xfId="59" applyFont="1" applyBorder="1" applyAlignment="1">
      <alignment horizontal="center" wrapText="1"/>
      <protection/>
    </xf>
    <xf numFmtId="0" fontId="37" fillId="0" borderId="0" xfId="59" applyFont="1" applyBorder="1" applyAlignment="1">
      <alignment horizontal="center" wrapText="1"/>
      <protection/>
    </xf>
    <xf numFmtId="0" fontId="37" fillId="0" borderId="14" xfId="59" applyFont="1" applyBorder="1" applyAlignment="1">
      <alignment horizontal="center" wrapText="1"/>
      <protection/>
    </xf>
    <xf numFmtId="0" fontId="23" fillId="0" borderId="13" xfId="59" applyFont="1" applyBorder="1" applyAlignment="1">
      <alignment horizontal="center"/>
      <protection/>
    </xf>
    <xf numFmtId="0" fontId="23" fillId="0" borderId="0" xfId="59" applyFont="1" applyBorder="1" applyAlignment="1">
      <alignment horizontal="center"/>
      <protection/>
    </xf>
    <xf numFmtId="0" fontId="23" fillId="0" borderId="14" xfId="59" applyFont="1" applyBorder="1" applyAlignment="1">
      <alignment horizontal="center"/>
      <protection/>
    </xf>
    <xf numFmtId="0" fontId="23" fillId="0" borderId="25" xfId="59" applyFont="1" applyBorder="1" applyAlignment="1">
      <alignment horizontal="center"/>
      <protection/>
    </xf>
    <xf numFmtId="0" fontId="23" fillId="0" borderId="26" xfId="59" applyFont="1" applyBorder="1" applyAlignment="1">
      <alignment horizontal="center"/>
      <protection/>
    </xf>
    <xf numFmtId="0" fontId="23" fillId="0" borderId="27" xfId="59" applyFont="1" applyBorder="1" applyAlignment="1">
      <alignment horizontal="center"/>
      <protection/>
    </xf>
    <xf numFmtId="0" fontId="37" fillId="0" borderId="13" xfId="58" applyFont="1" applyBorder="1" applyAlignment="1" applyProtection="1">
      <alignment horizontal="center" vertical="center"/>
      <protection/>
    </xf>
    <xf numFmtId="0" fontId="37" fillId="0" borderId="0" xfId="58" applyFont="1" applyBorder="1" applyAlignment="1" applyProtection="1">
      <alignment horizontal="center" vertical="center"/>
      <protection/>
    </xf>
    <xf numFmtId="0" fontId="37" fillId="0" borderId="14" xfId="58" applyFont="1" applyBorder="1" applyAlignment="1" applyProtection="1">
      <alignment horizontal="center" vertical="center"/>
      <protection/>
    </xf>
    <xf numFmtId="0" fontId="37" fillId="0" borderId="64" xfId="58" applyFont="1" applyBorder="1" applyAlignment="1" applyProtection="1">
      <alignment horizontal="center" vertical="center"/>
      <protection/>
    </xf>
    <xf numFmtId="0" fontId="37" fillId="0" borderId="65" xfId="59" applyFont="1" applyBorder="1" applyAlignment="1">
      <alignment horizontal="center" vertical="center"/>
      <protection/>
    </xf>
    <xf numFmtId="0" fontId="37" fillId="0" borderId="93" xfId="59" applyFont="1" applyBorder="1" applyAlignment="1">
      <alignment horizontal="center" vertical="center"/>
      <protection/>
    </xf>
    <xf numFmtId="0" fontId="37" fillId="0" borderId="82" xfId="59" applyFont="1" applyBorder="1" applyAlignment="1">
      <alignment horizontal="center" vertical="center"/>
      <protection/>
    </xf>
    <xf numFmtId="0" fontId="37" fillId="0" borderId="38" xfId="59" applyFont="1" applyBorder="1" applyAlignment="1">
      <alignment horizontal="center" vertical="center"/>
      <protection/>
    </xf>
    <xf numFmtId="0" fontId="37" fillId="0" borderId="72" xfId="59" applyFont="1" applyBorder="1" applyAlignment="1">
      <alignment horizontal="center" vertical="center"/>
      <protection/>
    </xf>
    <xf numFmtId="0" fontId="37" fillId="0" borderId="89" xfId="58" applyFont="1" applyFill="1" applyBorder="1" applyAlignment="1" applyProtection="1">
      <alignment horizontal="center" vertical="center"/>
      <protection/>
    </xf>
    <xf numFmtId="0" fontId="23" fillId="0" borderId="31" xfId="59" applyFont="1" applyBorder="1" applyAlignment="1">
      <alignment horizontal="center" vertical="center"/>
      <protection/>
    </xf>
    <xf numFmtId="0" fontId="23" fillId="0" borderId="90" xfId="59" applyFont="1" applyBorder="1" applyAlignment="1">
      <alignment horizontal="center" vertical="center"/>
      <protection/>
    </xf>
    <xf numFmtId="0" fontId="37" fillId="0" borderId="66" xfId="58" applyFont="1" applyFill="1" applyBorder="1" applyAlignment="1" applyProtection="1">
      <alignment horizontal="center" vertical="center"/>
      <protection/>
    </xf>
    <xf numFmtId="0" fontId="37" fillId="0" borderId="31" xfId="58" applyFont="1" applyFill="1" applyBorder="1" applyAlignment="1" applyProtection="1">
      <alignment horizontal="center" vertical="center"/>
      <protection/>
    </xf>
    <xf numFmtId="45" fontId="63" fillId="29" borderId="40" xfId="58" applyNumberFormat="1" applyFont="1" applyFill="1" applyBorder="1" applyAlignment="1" applyProtection="1">
      <alignment horizontal="center"/>
      <protection/>
    </xf>
    <xf numFmtId="45" fontId="108" fillId="29" borderId="37" xfId="59" applyNumberFormat="1" applyFont="1" applyFill="1" applyBorder="1" applyAlignment="1">
      <alignment horizontal="center"/>
      <protection/>
    </xf>
    <xf numFmtId="45" fontId="108" fillId="29" borderId="47" xfId="59" applyNumberFormat="1" applyFont="1" applyFill="1" applyBorder="1" applyAlignment="1">
      <alignment horizontal="center"/>
      <protection/>
    </xf>
    <xf numFmtId="167" fontId="63" fillId="0" borderId="11" xfId="0" applyNumberFormat="1" applyFont="1" applyBorder="1" applyAlignment="1">
      <alignment/>
    </xf>
    <xf numFmtId="164" fontId="0" fillId="0" borderId="12" xfId="0" applyBorder="1" applyAlignment="1">
      <alignment/>
    </xf>
    <xf numFmtId="164" fontId="0" fillId="0" borderId="56" xfId="0" applyBorder="1" applyAlignment="1">
      <alignment/>
    </xf>
    <xf numFmtId="164" fontId="0" fillId="0" borderId="25" xfId="0" applyBorder="1" applyAlignment="1">
      <alignment/>
    </xf>
    <xf numFmtId="164" fontId="0" fillId="0" borderId="26" xfId="0" applyBorder="1" applyAlignment="1">
      <alignment/>
    </xf>
    <xf numFmtId="164" fontId="0" fillId="0" borderId="27" xfId="0" applyBorder="1" applyAlignment="1">
      <alignment/>
    </xf>
    <xf numFmtId="164" fontId="64" fillId="0" borderId="12" xfId="0" applyFont="1" applyBorder="1" applyAlignment="1">
      <alignment/>
    </xf>
    <xf numFmtId="164" fontId="64" fillId="0" borderId="25" xfId="0" applyFont="1" applyBorder="1" applyAlignment="1">
      <alignment/>
    </xf>
    <xf numFmtId="164" fontId="64" fillId="0" borderId="26" xfId="0" applyFont="1" applyBorder="1" applyAlignment="1">
      <alignment/>
    </xf>
    <xf numFmtId="164" fontId="63" fillId="0" borderId="11" xfId="0" applyFont="1" applyBorder="1" applyAlignment="1">
      <alignment horizontal="center" vertical="center"/>
    </xf>
    <xf numFmtId="164" fontId="0" fillId="0" borderId="12" xfId="0" applyBorder="1" applyAlignment="1">
      <alignment horizontal="center" vertical="center"/>
    </xf>
    <xf numFmtId="164" fontId="0" fillId="0" borderId="56" xfId="0" applyBorder="1" applyAlignment="1">
      <alignment horizontal="center" vertical="center"/>
    </xf>
    <xf numFmtId="164" fontId="0" fillId="0" borderId="25" xfId="0" applyBorder="1" applyAlignment="1">
      <alignment horizontal="center" vertical="center"/>
    </xf>
    <xf numFmtId="164" fontId="0" fillId="0" borderId="26" xfId="0" applyBorder="1" applyAlignment="1">
      <alignment horizontal="center" vertical="center"/>
    </xf>
    <xf numFmtId="164" fontId="0" fillId="0" borderId="27" xfId="0" applyBorder="1" applyAlignment="1">
      <alignment horizontal="center" vertical="center"/>
    </xf>
    <xf numFmtId="164" fontId="64" fillId="0" borderId="12" xfId="0" applyFont="1" applyBorder="1" applyAlignment="1">
      <alignment horizontal="center" vertical="center"/>
    </xf>
    <xf numFmtId="164" fontId="64" fillId="0" borderId="56" xfId="0" applyFont="1" applyBorder="1" applyAlignment="1">
      <alignment horizontal="center" vertical="center"/>
    </xf>
    <xf numFmtId="164" fontId="64" fillId="0" borderId="25" xfId="0" applyFont="1" applyBorder="1" applyAlignment="1">
      <alignment horizontal="center" vertical="center"/>
    </xf>
    <xf numFmtId="164" fontId="64" fillId="0" borderId="26" xfId="0" applyFont="1" applyBorder="1" applyAlignment="1">
      <alignment horizontal="center" vertical="center"/>
    </xf>
    <xf numFmtId="164" fontId="64" fillId="0" borderId="27" xfId="0" applyFont="1" applyBorder="1" applyAlignment="1">
      <alignment horizontal="center" vertical="center"/>
    </xf>
    <xf numFmtId="0" fontId="37" fillId="29" borderId="65" xfId="58" applyFont="1" applyFill="1" applyBorder="1" applyAlignment="1" applyProtection="1">
      <alignment horizontal="right" vertical="center"/>
      <protection/>
    </xf>
    <xf numFmtId="0" fontId="37" fillId="0" borderId="64" xfId="58" applyFont="1" applyFill="1" applyBorder="1" applyAlignment="1" applyProtection="1">
      <alignment vertical="center"/>
      <protection/>
    </xf>
    <xf numFmtId="0" fontId="37" fillId="0" borderId="65" xfId="58" applyFont="1" applyFill="1" applyBorder="1" applyAlignment="1" applyProtection="1">
      <alignment vertical="center"/>
      <protection/>
    </xf>
    <xf numFmtId="0" fontId="50" fillId="29" borderId="73" xfId="58" applyFont="1" applyFill="1" applyBorder="1" applyAlignment="1" applyProtection="1">
      <alignment horizontal="left" vertical="center"/>
      <protection/>
    </xf>
    <xf numFmtId="0" fontId="50" fillId="29" borderId="28" xfId="58" applyFont="1" applyFill="1" applyBorder="1" applyAlignment="1" applyProtection="1">
      <alignment horizontal="left" vertical="center"/>
      <protection/>
    </xf>
    <xf numFmtId="0" fontId="50" fillId="29" borderId="61" xfId="58" applyFont="1" applyFill="1" applyBorder="1" applyAlignment="1" applyProtection="1">
      <alignment horizontal="left" vertical="center"/>
      <protection/>
    </xf>
    <xf numFmtId="46" fontId="63" fillId="28" borderId="89" xfId="58" applyNumberFormat="1" applyFont="1" applyFill="1" applyBorder="1" applyAlignment="1" applyProtection="1">
      <alignment horizontal="center" vertical="center"/>
      <protection locked="0"/>
    </xf>
    <xf numFmtId="0" fontId="64" fillId="28" borderId="31" xfId="59" applyFont="1" applyFill="1" applyBorder="1" applyAlignment="1">
      <alignment vertical="center"/>
      <protection/>
    </xf>
    <xf numFmtId="0" fontId="64" fillId="28" borderId="90" xfId="59" applyFont="1" applyFill="1" applyBorder="1" applyAlignment="1">
      <alignment vertical="center"/>
      <protection/>
    </xf>
    <xf numFmtId="0" fontId="47" fillId="0" borderId="56" xfId="58" applyFont="1" applyBorder="1" applyAlignment="1" applyProtection="1">
      <alignment horizontal="center" vertical="center"/>
      <protection/>
    </xf>
    <xf numFmtId="0" fontId="6" fillId="0" borderId="40" xfId="58" applyFill="1" applyBorder="1" applyAlignment="1" applyProtection="1">
      <alignment horizontal="center" vertical="center"/>
      <protection/>
    </xf>
    <xf numFmtId="164" fontId="119" fillId="0" borderId="0" xfId="54" applyNumberFormat="1" applyFont="1" applyAlignment="1" applyProtection="1">
      <alignment/>
      <protection/>
    </xf>
    <xf numFmtId="164" fontId="0" fillId="0" borderId="0" xfId="0" applyAlignment="1">
      <alignment/>
    </xf>
    <xf numFmtId="164" fontId="141" fillId="31" borderId="97" xfId="0" applyFont="1" applyFill="1" applyBorder="1" applyAlignment="1">
      <alignment/>
    </xf>
    <xf numFmtId="164" fontId="141" fillId="31" borderId="0" xfId="0" applyFont="1" applyFill="1" applyBorder="1" applyAlignment="1">
      <alignment/>
    </xf>
    <xf numFmtId="164" fontId="141" fillId="22" borderId="24" xfId="0" applyFont="1" applyFill="1" applyBorder="1" applyAlignment="1" applyProtection="1">
      <alignment horizontal="left"/>
      <protection locked="0"/>
    </xf>
    <xf numFmtId="164" fontId="142" fillId="22" borderId="24" xfId="0" applyFont="1" applyFill="1" applyBorder="1" applyAlignment="1" applyProtection="1">
      <alignment/>
      <protection locked="0"/>
    </xf>
    <xf numFmtId="164" fontId="142" fillId="22" borderId="0" xfId="0" applyFont="1" applyFill="1" applyBorder="1" applyAlignment="1" applyProtection="1">
      <alignment horizontal="center"/>
      <protection locked="0"/>
    </xf>
    <xf numFmtId="164" fontId="142" fillId="22" borderId="23" xfId="0" applyFont="1" applyFill="1" applyBorder="1" applyAlignment="1" applyProtection="1" quotePrefix="1">
      <alignment horizontal="center"/>
      <protection locked="0"/>
    </xf>
    <xf numFmtId="164" fontId="142" fillId="22" borderId="23" xfId="0" applyFont="1" applyFill="1" applyBorder="1" applyAlignment="1" applyProtection="1">
      <alignment horizontal="center"/>
      <protection locked="0"/>
    </xf>
    <xf numFmtId="1" fontId="142" fillId="22" borderId="0" xfId="0" applyNumberFormat="1" applyFont="1" applyFill="1" applyBorder="1" applyAlignment="1" applyProtection="1">
      <alignment horizontal="center"/>
      <protection locked="0"/>
    </xf>
    <xf numFmtId="164" fontId="141" fillId="22" borderId="24" xfId="0" applyFont="1" applyFill="1" applyBorder="1" applyAlignment="1" applyProtection="1">
      <alignment horizontal="center"/>
      <protection locked="0"/>
    </xf>
    <xf numFmtId="164" fontId="141" fillId="31" borderId="15" xfId="0" applyFont="1" applyFill="1" applyBorder="1" applyAlignment="1">
      <alignment horizontal="center"/>
    </xf>
    <xf numFmtId="164" fontId="141" fillId="31" borderId="23" xfId="0" applyFont="1" applyFill="1" applyBorder="1" applyAlignment="1">
      <alignment horizontal="center"/>
    </xf>
    <xf numFmtId="164" fontId="142" fillId="22" borderId="0" xfId="0" applyFont="1" applyFill="1" applyBorder="1" applyAlignment="1" applyProtection="1" quotePrefix="1">
      <alignment horizontal="center"/>
      <protection locked="0"/>
    </xf>
    <xf numFmtId="164" fontId="142" fillId="22" borderId="0" xfId="0" applyFont="1" applyFill="1" applyBorder="1" applyAlignment="1" applyProtection="1">
      <alignment/>
      <protection locked="0"/>
    </xf>
    <xf numFmtId="164" fontId="142" fillId="22" borderId="0" xfId="0" applyFont="1" applyFill="1" applyBorder="1" applyAlignment="1" applyProtection="1">
      <alignment horizontal="left"/>
      <protection locked="0"/>
    </xf>
    <xf numFmtId="164" fontId="141" fillId="31" borderId="24" xfId="0" applyFont="1" applyFill="1" applyBorder="1" applyAlignment="1">
      <alignment/>
    </xf>
    <xf numFmtId="164" fontId="142" fillId="22" borderId="15" xfId="0" applyFont="1" applyFill="1" applyBorder="1" applyAlignment="1" applyProtection="1" quotePrefix="1">
      <alignment horizontal="center"/>
      <protection locked="0"/>
    </xf>
    <xf numFmtId="164" fontId="142" fillId="22" borderId="15" xfId="0" applyFont="1" applyFill="1" applyBorder="1" applyAlignment="1" applyProtection="1">
      <alignment/>
      <protection locked="0"/>
    </xf>
    <xf numFmtId="164" fontId="142" fillId="22" borderId="15" xfId="0" applyFont="1" applyFill="1" applyBorder="1" applyAlignment="1" applyProtection="1">
      <alignment horizontal="center"/>
      <protection locked="0"/>
    </xf>
    <xf numFmtId="164" fontId="142" fillId="22" borderId="23" xfId="0" applyFont="1" applyFill="1" applyBorder="1" applyAlignment="1" applyProtection="1">
      <alignment/>
      <protection locked="0"/>
    </xf>
    <xf numFmtId="164" fontId="142" fillId="22" borderId="23" xfId="0" applyFont="1" applyFill="1" applyBorder="1" applyAlignment="1" applyProtection="1">
      <alignment horizontal="left"/>
      <protection locked="0"/>
    </xf>
    <xf numFmtId="164" fontId="142" fillId="22" borderId="24" xfId="0" applyFont="1" applyFill="1" applyBorder="1" applyAlignment="1" applyProtection="1">
      <alignment horizontal="left"/>
      <protection locked="0"/>
    </xf>
    <xf numFmtId="164" fontId="142" fillId="22" borderId="60" xfId="0" applyFont="1" applyFill="1" applyBorder="1" applyAlignment="1" applyProtection="1">
      <alignment horizontal="center"/>
      <protection locked="0"/>
    </xf>
    <xf numFmtId="164" fontId="142" fillId="22" borderId="60" xfId="0" applyFont="1" applyFill="1" applyBorder="1" applyAlignment="1" applyProtection="1">
      <alignment/>
      <protection locked="0"/>
    </xf>
    <xf numFmtId="164" fontId="142" fillId="22" borderId="19" xfId="0" applyFont="1" applyFill="1" applyBorder="1" applyAlignment="1" applyProtection="1">
      <alignment horizontal="center"/>
      <protection locked="0"/>
    </xf>
    <xf numFmtId="164" fontId="142" fillId="22" borderId="19" xfId="0" applyFont="1" applyFill="1" applyBorder="1" applyAlignment="1" applyProtection="1">
      <alignment horizontal="left"/>
      <protection locked="0"/>
    </xf>
    <xf numFmtId="49" fontId="143" fillId="22" borderId="15" xfId="0" applyNumberFormat="1" applyFont="1" applyFill="1" applyBorder="1" applyAlignment="1" applyProtection="1">
      <alignment horizontal="left"/>
      <protection locked="0"/>
    </xf>
    <xf numFmtId="49" fontId="143" fillId="22" borderId="74" xfId="0" applyNumberFormat="1" applyFont="1" applyFill="1" applyBorder="1" applyAlignment="1" applyProtection="1">
      <alignment horizontal="left"/>
      <protection locked="0"/>
    </xf>
    <xf numFmtId="49" fontId="143" fillId="22" borderId="77" xfId="0" applyNumberFormat="1" applyFont="1" applyFill="1" applyBorder="1" applyAlignment="1" applyProtection="1" quotePrefix="1">
      <alignment horizontal="left"/>
      <protection locked="0"/>
    </xf>
    <xf numFmtId="164" fontId="143" fillId="22" borderId="13" xfId="0" applyFont="1" applyFill="1" applyBorder="1" applyAlignment="1" applyProtection="1">
      <alignment horizontal="left"/>
      <protection locked="0"/>
    </xf>
    <xf numFmtId="49" fontId="143" fillId="22" borderId="77" xfId="0" applyNumberFormat="1" applyFont="1" applyFill="1" applyBorder="1" applyAlignment="1" applyProtection="1">
      <alignment/>
      <protection locked="0"/>
    </xf>
    <xf numFmtId="175" fontId="141" fillId="31" borderId="15" xfId="0" applyNumberFormat="1" applyFont="1" applyFill="1" applyBorder="1" applyAlignment="1">
      <alignment horizontal="center"/>
    </xf>
    <xf numFmtId="49" fontId="143" fillId="22" borderId="15" xfId="0" applyNumberFormat="1" applyFont="1" applyFill="1" applyBorder="1" applyAlignment="1" applyProtection="1">
      <alignment/>
      <protection locked="0"/>
    </xf>
    <xf numFmtId="49" fontId="143" fillId="22" borderId="24" xfId="0" applyNumberFormat="1" applyFont="1" applyFill="1" applyBorder="1" applyAlignment="1" applyProtection="1">
      <alignment horizontal="left"/>
      <protection locked="0"/>
    </xf>
    <xf numFmtId="49" fontId="143" fillId="22" borderId="3" xfId="0" applyNumberFormat="1" applyFont="1" applyFill="1" applyBorder="1" applyAlignment="1" applyProtection="1">
      <alignment horizontal="left"/>
      <protection locked="0"/>
    </xf>
    <xf numFmtId="49" fontId="143" fillId="22" borderId="3" xfId="0" applyNumberFormat="1" applyFont="1" applyFill="1" applyBorder="1" applyAlignment="1" applyProtection="1">
      <alignment/>
      <protection locked="0"/>
    </xf>
    <xf numFmtId="49" fontId="143" fillId="22" borderId="3" xfId="0" applyNumberFormat="1" applyFont="1" applyFill="1" applyBorder="1" applyAlignment="1">
      <alignment horizontal="left"/>
    </xf>
    <xf numFmtId="49" fontId="143" fillId="22" borderId="3" xfId="0" applyNumberFormat="1" applyFont="1" applyFill="1" applyBorder="1" applyAlignment="1" applyProtection="1" quotePrefix="1">
      <alignment/>
      <protection locked="0"/>
    </xf>
    <xf numFmtId="49" fontId="143" fillId="22" borderId="3" xfId="0" applyNumberFormat="1" applyFont="1" applyFill="1" applyBorder="1" applyAlignment="1" applyProtection="1" quotePrefix="1">
      <alignment horizontal="left"/>
      <protection locked="0"/>
    </xf>
    <xf numFmtId="49" fontId="143" fillId="22" borderId="3" xfId="0" applyNumberFormat="1" applyFont="1" applyFill="1" applyBorder="1" applyAlignment="1" applyProtection="1" quotePrefix="1">
      <alignment horizontal="left"/>
      <protection/>
    </xf>
    <xf numFmtId="49" fontId="143" fillId="22" borderId="3" xfId="0" applyNumberFormat="1" applyFont="1" applyFill="1" applyBorder="1" applyAlignment="1" quotePrefix="1">
      <alignment horizontal="left"/>
    </xf>
    <xf numFmtId="49" fontId="143" fillId="22" borderId="3" xfId="0" applyNumberFormat="1" applyFont="1" applyFill="1" applyBorder="1" applyAlignment="1" applyProtection="1">
      <alignment horizontal="left"/>
      <protection/>
    </xf>
    <xf numFmtId="164" fontId="144" fillId="22" borderId="23" xfId="0" applyFont="1" applyFill="1" applyBorder="1" applyAlignment="1" applyProtection="1">
      <alignment/>
      <protection locked="0"/>
    </xf>
    <xf numFmtId="164" fontId="144" fillId="22" borderId="19" xfId="0" applyFont="1" applyFill="1" applyBorder="1" applyAlignment="1" applyProtection="1">
      <alignment/>
      <protection locked="0"/>
    </xf>
    <xf numFmtId="172" fontId="141" fillId="31" borderId="15" xfId="0" applyNumberFormat="1" applyFont="1" applyFill="1" applyBorder="1" applyAlignment="1">
      <alignment horizontal="center"/>
    </xf>
    <xf numFmtId="165" fontId="145" fillId="22" borderId="15" xfId="0" applyNumberFormat="1" applyFont="1" applyFill="1" applyBorder="1" applyAlignment="1" applyProtection="1">
      <alignment/>
      <protection locked="0"/>
    </xf>
    <xf numFmtId="167" fontId="142" fillId="22" borderId="15" xfId="0" applyNumberFormat="1" applyFont="1" applyFill="1" applyBorder="1" applyAlignment="1" applyProtection="1">
      <alignment/>
      <protection locked="0"/>
    </xf>
    <xf numFmtId="49" fontId="143" fillId="22" borderId="3" xfId="46" applyNumberFormat="1" applyFont="1" applyProtection="1">
      <alignment horizontal="left"/>
      <protection locked="0"/>
    </xf>
    <xf numFmtId="49" fontId="143" fillId="22" borderId="0" xfId="0" applyNumberFormat="1" applyFont="1" applyFill="1" applyBorder="1" applyAlignment="1" applyProtection="1">
      <alignment horizontal="left"/>
      <protection locked="0"/>
    </xf>
    <xf numFmtId="49" fontId="143" fillId="22" borderId="23" xfId="0" applyNumberFormat="1" applyFont="1" applyFill="1" applyBorder="1" applyAlignment="1" applyProtection="1">
      <alignment/>
      <protection locked="0"/>
    </xf>
    <xf numFmtId="49" fontId="141" fillId="22" borderId="0" xfId="0" applyNumberFormat="1" applyFont="1" applyFill="1" applyBorder="1" applyAlignment="1" applyProtection="1">
      <alignment/>
      <protection locked="0"/>
    </xf>
    <xf numFmtId="49" fontId="141" fillId="22" borderId="3" xfId="0" applyNumberFormat="1" applyFont="1" applyFill="1" applyBorder="1" applyAlignment="1" applyProtection="1" quotePrefix="1">
      <alignment/>
      <protection locked="0"/>
    </xf>
    <xf numFmtId="175" fontId="141" fillId="31" borderId="0" xfId="0" applyNumberFormat="1" applyFont="1" applyFill="1" applyBorder="1" applyAlignment="1">
      <alignment horizontal="center"/>
    </xf>
    <xf numFmtId="49" fontId="146" fillId="22" borderId="15" xfId="0" applyNumberFormat="1" applyFont="1" applyFill="1" applyBorder="1" applyAlignment="1" applyProtection="1">
      <alignment horizontal="left"/>
      <protection locked="0"/>
    </xf>
    <xf numFmtId="49" fontId="146" fillId="22" borderId="24" xfId="0" applyNumberFormat="1" applyFont="1" applyFill="1" applyBorder="1" applyAlignment="1" applyProtection="1">
      <alignment horizontal="left"/>
      <protection locked="0"/>
    </xf>
    <xf numFmtId="49" fontId="146" fillId="22" borderId="3" xfId="0" applyNumberFormat="1" applyFont="1" applyFill="1" applyBorder="1" applyAlignment="1" applyProtection="1" quotePrefix="1">
      <alignment horizontal="left"/>
      <protection locked="0"/>
    </xf>
    <xf numFmtId="164" fontId="146" fillId="22" borderId="13" xfId="0" applyFont="1" applyFill="1" applyBorder="1" applyAlignment="1" applyProtection="1">
      <alignment horizontal="left"/>
      <protection locked="0"/>
    </xf>
    <xf numFmtId="49" fontId="143" fillId="22" borderId="15" xfId="0" applyNumberFormat="1" applyFont="1" applyFill="1" applyBorder="1" applyAlignment="1" applyProtection="1">
      <alignment/>
      <protection locked="0"/>
    </xf>
    <xf numFmtId="49" fontId="143" fillId="22" borderId="3" xfId="0" applyNumberFormat="1" applyFont="1" applyFill="1" applyBorder="1" applyAlignment="1" applyProtection="1">
      <alignment/>
      <protection locked="0"/>
    </xf>
    <xf numFmtId="49" fontId="143" fillId="22" borderId="24" xfId="0" applyNumberFormat="1" applyFont="1" applyFill="1" applyBorder="1" applyAlignment="1" applyProtection="1">
      <alignment/>
      <protection locked="0"/>
    </xf>
    <xf numFmtId="49" fontId="143" fillId="22" borderId="14" xfId="0" applyNumberFormat="1" applyFont="1" applyFill="1" applyBorder="1" applyAlignment="1" applyProtection="1">
      <alignment horizontal="left"/>
      <protection locked="0"/>
    </xf>
    <xf numFmtId="49" fontId="143" fillId="22" borderId="0" xfId="0" applyNumberFormat="1" applyFont="1" applyFill="1" applyBorder="1" applyAlignment="1" applyProtection="1">
      <alignment/>
      <protection locked="0"/>
    </xf>
    <xf numFmtId="49" fontId="143" fillId="22" borderId="23" xfId="0" applyNumberFormat="1" applyFont="1" applyFill="1" applyBorder="1" applyAlignment="1" applyProtection="1" quotePrefix="1">
      <alignment/>
      <protection locked="0"/>
    </xf>
    <xf numFmtId="164" fontId="143" fillId="22" borderId="0" xfId="0" applyFont="1" applyFill="1" applyBorder="1" applyAlignment="1" applyProtection="1">
      <alignment horizontal="left"/>
      <protection locked="0"/>
    </xf>
    <xf numFmtId="49" fontId="146" fillId="22" borderId="3" xfId="0" applyNumberFormat="1" applyFont="1" applyFill="1" applyBorder="1" applyAlignment="1" applyProtection="1">
      <alignment/>
      <protection locked="0"/>
    </xf>
    <xf numFmtId="49" fontId="143" fillId="22" borderId="0" xfId="0" applyNumberFormat="1" applyFont="1" applyFill="1" applyBorder="1" applyAlignment="1" applyProtection="1" quotePrefix="1">
      <alignment horizontal="left"/>
      <protection locked="0"/>
    </xf>
    <xf numFmtId="49" fontId="143" fillId="22" borderId="87" xfId="0" applyNumberFormat="1" applyFont="1" applyFill="1" applyBorder="1" applyAlignment="1" applyProtection="1">
      <alignment horizontal="left"/>
      <protection locked="0"/>
    </xf>
    <xf numFmtId="164" fontId="147" fillId="22" borderId="38" xfId="0" applyFont="1" applyFill="1" applyBorder="1" applyAlignment="1" applyProtection="1">
      <alignment horizontal="center"/>
      <protection locked="0"/>
    </xf>
    <xf numFmtId="2" fontId="147" fillId="22" borderId="38" xfId="0" applyNumberFormat="1" applyFont="1" applyFill="1" applyBorder="1" applyAlignment="1" applyProtection="1">
      <alignment/>
      <protection locked="0"/>
    </xf>
    <xf numFmtId="164" fontId="147" fillId="22" borderId="19" xfId="0" applyFont="1" applyFill="1" applyBorder="1" applyAlignment="1" applyProtection="1">
      <alignment horizontal="center"/>
      <protection locked="0"/>
    </xf>
    <xf numFmtId="2" fontId="147" fillId="22" borderId="19" xfId="0" applyNumberFormat="1" applyFont="1" applyFill="1" applyBorder="1" applyAlignment="1" applyProtection="1">
      <alignment/>
      <protection locked="0"/>
    </xf>
    <xf numFmtId="174" fontId="142" fillId="22" borderId="38" xfId="0" applyNumberFormat="1" applyFont="1" applyFill="1" applyBorder="1" applyAlignment="1" applyProtection="1" quotePrefix="1">
      <alignment/>
      <protection locked="0"/>
    </xf>
    <xf numFmtId="174" fontId="142" fillId="22" borderId="23" xfId="0" applyNumberFormat="1" applyFont="1" applyFill="1" applyBorder="1" applyAlignment="1" applyProtection="1" quotePrefix="1">
      <alignment/>
      <protection locked="0"/>
    </xf>
    <xf numFmtId="174" fontId="142" fillId="22" borderId="24" xfId="0" applyNumberFormat="1" applyFont="1" applyFill="1" applyBorder="1" applyAlignment="1" applyProtection="1" quotePrefix="1">
      <alignment horizontal="left"/>
      <protection locked="0"/>
    </xf>
    <xf numFmtId="174" fontId="142" fillId="22" borderId="24" xfId="0" applyNumberFormat="1" applyFont="1" applyFill="1" applyBorder="1" applyAlignment="1" applyProtection="1" quotePrefix="1">
      <alignment/>
      <protection locked="0"/>
    </xf>
    <xf numFmtId="174" fontId="148" fillId="22" borderId="24" xfId="0" applyNumberFormat="1" applyFont="1" applyFill="1" applyBorder="1" applyAlignment="1" applyProtection="1" quotePrefix="1">
      <alignment/>
      <protection locked="0"/>
    </xf>
    <xf numFmtId="164" fontId="142" fillId="22" borderId="32" xfId="0" applyFont="1" applyFill="1" applyBorder="1" applyAlignment="1" applyProtection="1" quotePrefix="1">
      <alignment horizontal="center"/>
      <protection/>
    </xf>
    <xf numFmtId="164" fontId="142" fillId="22" borderId="24" xfId="0" applyFont="1" applyFill="1" applyBorder="1" applyAlignment="1" applyProtection="1" quotePrefix="1">
      <alignment horizontal="left"/>
      <protection locked="0"/>
    </xf>
    <xf numFmtId="164" fontId="142" fillId="22" borderId="24" xfId="0" applyFont="1" applyFill="1" applyBorder="1" applyAlignment="1" applyProtection="1" quotePrefix="1">
      <alignment/>
      <protection locked="0"/>
    </xf>
    <xf numFmtId="164" fontId="148" fillId="22" borderId="24" xfId="0" applyFont="1" applyFill="1" applyBorder="1" applyAlignment="1" applyProtection="1" quotePrefix="1">
      <alignment/>
      <protection locked="0"/>
    </xf>
    <xf numFmtId="164" fontId="147" fillId="22" borderId="60" xfId="0" applyFont="1" applyFill="1" applyBorder="1" applyAlignment="1" applyProtection="1">
      <alignment horizontal="center"/>
      <protection locked="0"/>
    </xf>
    <xf numFmtId="2" fontId="147" fillId="22" borderId="60" xfId="0" applyNumberFormat="1" applyFont="1" applyFill="1" applyBorder="1" applyAlignment="1" applyProtection="1">
      <alignment/>
      <protection locked="0"/>
    </xf>
    <xf numFmtId="164" fontId="147" fillId="22" borderId="60" xfId="0" applyFont="1" applyFill="1" applyBorder="1" applyAlignment="1">
      <alignment horizontal="center"/>
    </xf>
    <xf numFmtId="2" fontId="147" fillId="22" borderId="60" xfId="0" applyNumberFormat="1" applyFont="1" applyFill="1" applyBorder="1" applyAlignment="1">
      <alignment/>
    </xf>
    <xf numFmtId="164" fontId="147" fillId="22" borderId="38" xfId="0" applyFont="1" applyFill="1" applyBorder="1" applyAlignment="1">
      <alignment horizontal="center"/>
    </xf>
    <xf numFmtId="2" fontId="147" fillId="22" borderId="38" xfId="0" applyNumberFormat="1" applyFont="1" applyFill="1" applyBorder="1" applyAlignment="1">
      <alignment/>
    </xf>
    <xf numFmtId="164" fontId="147" fillId="22" borderId="19" xfId="0" applyFont="1" applyFill="1" applyBorder="1" applyAlignment="1">
      <alignment horizontal="center"/>
    </xf>
    <xf numFmtId="2" fontId="147" fillId="22" borderId="19" xfId="0" applyNumberFormat="1" applyFont="1" applyFill="1" applyBorder="1" applyAlignment="1">
      <alignment/>
    </xf>
    <xf numFmtId="2" fontId="145" fillId="22" borderId="38" xfId="0" applyNumberFormat="1" applyFont="1" applyFill="1" applyBorder="1" applyAlignment="1" applyProtection="1">
      <alignment horizontal="center"/>
      <protection locked="0"/>
    </xf>
    <xf numFmtId="164" fontId="145" fillId="22" borderId="38" xfId="0" applyFont="1" applyFill="1" applyBorder="1" applyAlignment="1" applyProtection="1">
      <alignment horizontal="center"/>
      <protection locked="0"/>
    </xf>
    <xf numFmtId="164" fontId="145" fillId="22" borderId="19" xfId="0" applyFont="1" applyFill="1" applyBorder="1" applyAlignment="1" applyProtection="1">
      <alignment horizontal="center"/>
      <protection locked="0"/>
    </xf>
    <xf numFmtId="2" fontId="145" fillId="22" borderId="19" xfId="0" applyNumberFormat="1" applyFont="1" applyFill="1" applyBorder="1" applyAlignment="1" applyProtection="1">
      <alignment horizontal="center"/>
      <protection locked="0"/>
    </xf>
    <xf numFmtId="164" fontId="145" fillId="22" borderId="24" xfId="0" applyFont="1" applyFill="1" applyBorder="1" applyAlignment="1" applyProtection="1" quotePrefix="1">
      <alignment horizontal="left"/>
      <protection locked="0"/>
    </xf>
    <xf numFmtId="164" fontId="148" fillId="22" borderId="24" xfId="0" applyFont="1" applyFill="1" applyBorder="1" applyAlignment="1" applyProtection="1" quotePrefix="1">
      <alignment horizontal="left"/>
      <protection locked="0"/>
    </xf>
    <xf numFmtId="164" fontId="145" fillId="22" borderId="60" xfId="0" applyFont="1" applyFill="1" applyBorder="1" applyAlignment="1" applyProtection="1">
      <alignment horizontal="center"/>
      <protection locked="0"/>
    </xf>
    <xf numFmtId="2" fontId="145" fillId="22" borderId="60" xfId="0" applyNumberFormat="1" applyFont="1" applyFill="1" applyBorder="1" applyAlignment="1" applyProtection="1">
      <alignment horizont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wer Plant"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LOG RACE TEMPLATE - IPBA - LeoL-BobL 11-20-01" xfId="58"/>
    <cellStyle name="Normal_LOG TEMPLATES VER. 11-11 Final - 174 pixel" xfId="59"/>
    <cellStyle name="Note" xfId="60"/>
    <cellStyle name="Output" xfId="61"/>
    <cellStyle name="Percent" xfId="62"/>
    <cellStyle name="Title" xfId="63"/>
    <cellStyle name="Total" xfId="64"/>
    <cellStyle name="Warning Text" xfId="65"/>
  </cellStyles>
  <dxfs count="15">
    <dxf>
      <font>
        <b/>
        <i val="0"/>
        <color indexed="61"/>
      </font>
    </dxf>
    <dxf>
      <font>
        <b/>
        <i/>
        <color indexed="33"/>
      </font>
    </dxf>
    <dxf>
      <font>
        <b/>
        <i/>
        <color indexed="10"/>
      </font>
    </dxf>
    <dxf>
      <font>
        <b/>
        <i val="0"/>
        <color auto="1"/>
      </font>
    </dxf>
    <dxf>
      <font>
        <b/>
        <i/>
        <color indexed="10"/>
      </font>
    </dxf>
    <dxf>
      <font>
        <b/>
        <i/>
      </font>
      <fill>
        <patternFill patternType="gray125">
          <fgColor indexed="10"/>
        </patternFill>
      </fill>
    </dxf>
    <dxf>
      <fill>
        <patternFill patternType="gray125">
          <fgColor indexed="10"/>
        </patternFill>
      </fill>
    </dxf>
    <dxf>
      <font>
        <b/>
        <i val="0"/>
      </font>
    </dxf>
    <dxf>
      <font>
        <b/>
        <i val="0"/>
      </font>
    </dxf>
    <dxf>
      <font>
        <b/>
        <i/>
      </font>
      <fill>
        <patternFill patternType="gray125">
          <fgColor indexed="10"/>
        </patternFill>
      </fill>
    </dxf>
    <dxf>
      <font>
        <b/>
        <i/>
      </font>
      <fill>
        <patternFill patternType="gray125">
          <fgColor rgb="FFFF0000"/>
        </patternFill>
      </fill>
      <border/>
    </dxf>
    <dxf>
      <font>
        <b/>
        <i val="0"/>
      </font>
      <border/>
    </dxf>
    <dxf>
      <font>
        <b/>
        <i/>
        <color rgb="FFFF0000"/>
      </font>
      <border/>
    </dxf>
    <dxf>
      <font>
        <b/>
        <i/>
        <color rgb="FFFF00FF"/>
      </font>
      <border/>
    </dxf>
    <dxf>
      <font>
        <b/>
        <i val="0"/>
        <color rgb="FF99336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6.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9</xdr:col>
      <xdr:colOff>485775</xdr:colOff>
      <xdr:row>49</xdr:row>
      <xdr:rowOff>9525</xdr:rowOff>
    </xdr:to>
    <xdr:pic>
      <xdr:nvPicPr>
        <xdr:cNvPr id="1" name="Picture 1" descr="Join NACA application jpeg"/>
        <xdr:cNvPicPr preferRelativeResize="1">
          <a:picLocks noChangeAspect="1"/>
        </xdr:cNvPicPr>
      </xdr:nvPicPr>
      <xdr:blipFill>
        <a:blip r:embed="rId1"/>
        <a:stretch>
          <a:fillRect/>
        </a:stretch>
      </xdr:blipFill>
      <xdr:spPr>
        <a:xfrm>
          <a:off x="685800" y="542925"/>
          <a:ext cx="5972175" cy="7458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ocuments%20and%20Settings\Owner\Desktop\Active%20Files%20-%20for%20backup%20-%208-02\QCYC\Flag%202003\RACE%20-%20Flag%20Officer%20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orge\Downloads\Excel%20Template-RaceMasterBasic-%201-8-16%20MAS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Speed"/>
      <sheetName val="RACE "/>
      <sheetName val="Current Analysis"/>
      <sheetName val="Agate"/>
      <sheetName val="Timed Runs-Ticks"/>
      <sheetName val="WORKSHEET LOG"/>
      <sheetName val="PREDICTED LOG"/>
      <sheetName val="CONTEST LOG"/>
      <sheetName val="Worksheet Log Calcs"/>
      <sheetName val="Obs Timing-throttle adj"/>
      <sheetName val="Time x Dist = RPM ; CRUISE"/>
      <sheetName val="Time x Dist = RPM ; CRUISE UP"/>
      <sheetName val="Time x Dist = RPM ; CRUISE down"/>
      <sheetName val="Time x Dist = RPM ; SLOW"/>
      <sheetName val="Wind - Cruise"/>
      <sheetName val="Wind - Slow"/>
      <sheetName val="Dog Leg "/>
      <sheetName val="Current - Steady Wind"/>
      <sheetName val="Checklist"/>
      <sheetName val="RPM x Dist = Time ; CRUISE"/>
      <sheetName val="RPM x Dist = Time ; SLOW"/>
      <sheetName val="Slip Seabear"/>
      <sheetName val="Turn - TR"/>
      <sheetName val="Al Smith's - Turn Time  - Lost"/>
      <sheetName val="WORKSHEET LOG (no time)"/>
      <sheetName val="PREDICTED LOG (no time)"/>
      <sheetName val="CONTEST LOG (no time)"/>
      <sheetName val="Compass Corr"/>
      <sheetName val="Offset error"/>
      <sheetName val="WORKSHEET LOG mailout"/>
      <sheetName val="Predicted LOG mailout"/>
      <sheetName val="Contest LOG mailout"/>
      <sheetName val="Angle-offset -range (dist)"/>
      <sheetName val="Angle-offset-range (dist-0.1o)"/>
      <sheetName val="Slip &amp; Heading"/>
      <sheetName val="Slip Heading SQ"/>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RACE "/>
      <sheetName val="PREDICTED LOG"/>
      <sheetName val="CONTEST LOG"/>
      <sheetName val="CALCULATION LOG"/>
      <sheetName val="Observers Timing Sheet"/>
      <sheetName val="Wind - Cruise"/>
      <sheetName val="Wind - Slow"/>
      <sheetName val="Dog Leg "/>
      <sheetName val="Al Smith's - Turn Time  - Lost"/>
      <sheetName val="Checklist"/>
      <sheetName val="PREDICTED LOG (Blank)"/>
      <sheetName val="CONTEST LOG (BLANK)"/>
      <sheetName val="CALCULATION LOG (BLANK)"/>
      <sheetName val="join NACA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predictedlog.org/join_naca.aspx" TargetMode="External" /><Relationship Id="rId2" Type="http://schemas.openxmlformats.org/officeDocument/2006/relationships/drawing" Target="../drawings/drawing1.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BobL@lindal.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1:A43"/>
  <sheetViews>
    <sheetView zoomScale="75" zoomScaleNormal="75" zoomScalePageLayoutView="0" workbookViewId="0" topLeftCell="A10">
      <selection activeCell="A36" sqref="A36"/>
    </sheetView>
  </sheetViews>
  <sheetFormatPr defaultColWidth="9.00390625" defaultRowHeight="12.75"/>
  <sheetData>
    <row r="1" ht="12" hidden="1"/>
    <row r="2" ht="12" hidden="1"/>
    <row r="3" ht="12" hidden="1"/>
    <row r="4" ht="12" hidden="1"/>
    <row r="5" ht="12" hidden="1"/>
    <row r="6" ht="12" hidden="1"/>
    <row r="7" ht="12" hidden="1"/>
    <row r="8" ht="12" hidden="1"/>
    <row r="9" ht="12" hidden="1"/>
    <row r="11" s="948" customFormat="1" ht="15">
      <c r="A11" s="948" t="s">
        <v>174</v>
      </c>
    </row>
    <row r="12" s="948" customFormat="1" ht="15">
      <c r="A12" s="948" t="s">
        <v>175</v>
      </c>
    </row>
    <row r="13" s="948" customFormat="1" ht="15">
      <c r="A13" s="948" t="s">
        <v>176</v>
      </c>
    </row>
    <row r="14" s="948" customFormat="1" ht="15">
      <c r="A14" s="948" t="s">
        <v>177</v>
      </c>
    </row>
    <row r="15" s="948" customFormat="1" ht="15">
      <c r="A15" s="948" t="s">
        <v>178</v>
      </c>
    </row>
    <row r="16" s="948" customFormat="1" ht="15"/>
    <row r="17" s="948" customFormat="1" ht="15">
      <c r="A17" s="948" t="s">
        <v>189</v>
      </c>
    </row>
    <row r="18" s="948" customFormat="1" ht="15">
      <c r="A18" s="948" t="s">
        <v>190</v>
      </c>
    </row>
    <row r="19" s="948" customFormat="1" ht="15">
      <c r="A19" s="948" t="s">
        <v>191</v>
      </c>
    </row>
    <row r="20" s="948" customFormat="1" ht="15"/>
    <row r="21" s="948" customFormat="1" ht="15">
      <c r="A21" s="948" t="s">
        <v>170</v>
      </c>
    </row>
    <row r="22" s="948" customFormat="1" ht="15"/>
    <row r="23" s="948" customFormat="1" ht="15">
      <c r="A23" s="948" t="s">
        <v>171</v>
      </c>
    </row>
    <row r="24" s="948" customFormat="1" ht="15">
      <c r="A24" s="948" t="s">
        <v>172</v>
      </c>
    </row>
    <row r="25" s="948" customFormat="1" ht="15">
      <c r="A25" s="948" t="s">
        <v>173</v>
      </c>
    </row>
    <row r="26" s="948" customFormat="1" ht="15">
      <c r="A26" s="949" t="s">
        <v>182</v>
      </c>
    </row>
    <row r="27" s="948" customFormat="1" ht="15"/>
    <row r="28" s="948" customFormat="1" ht="15">
      <c r="A28" s="948" t="s">
        <v>179</v>
      </c>
    </row>
    <row r="29" s="948" customFormat="1" ht="15"/>
    <row r="30" s="948" customFormat="1" ht="15">
      <c r="A30" s="949" t="s">
        <v>417</v>
      </c>
    </row>
    <row r="31" s="948" customFormat="1" ht="15"/>
    <row r="32" s="948" customFormat="1" ht="15">
      <c r="A32" s="950" t="s">
        <v>180</v>
      </c>
    </row>
    <row r="33" s="948" customFormat="1" ht="15"/>
    <row r="34" s="948" customFormat="1" ht="15">
      <c r="A34" s="949" t="s">
        <v>181</v>
      </c>
    </row>
    <row r="35" s="948" customFormat="1" ht="15"/>
    <row r="36" s="948" customFormat="1" ht="15">
      <c r="A36" s="949" t="s">
        <v>418</v>
      </c>
    </row>
    <row r="37" s="948" customFormat="1" ht="15"/>
    <row r="38" s="948" customFormat="1" ht="15">
      <c r="A38" s="949" t="s">
        <v>183</v>
      </c>
    </row>
    <row r="39" s="948" customFormat="1" ht="15">
      <c r="A39" s="948" t="s">
        <v>184</v>
      </c>
    </row>
    <row r="40" s="948" customFormat="1" ht="15">
      <c r="A40" s="948" t="s">
        <v>185</v>
      </c>
    </row>
    <row r="41" s="948" customFormat="1" ht="15">
      <c r="A41" s="948" t="s">
        <v>186</v>
      </c>
    </row>
    <row r="42" s="948" customFormat="1" ht="15">
      <c r="A42" s="948" t="s">
        <v>187</v>
      </c>
    </row>
    <row r="43" s="948" customFormat="1" ht="15">
      <c r="A43" s="948" t="s">
        <v>18</v>
      </c>
    </row>
  </sheetData>
  <sheetProtection/>
  <printOptions/>
  <pageMargins left="0.75" right="0.75" top="1" bottom="1" header="0.5" footer="0.5"/>
  <pageSetup horizontalDpi="600" verticalDpi="600" orientation="portrait" r:id="rId7"/>
  <legacyDrawing r:id="rId6"/>
  <oleObjects>
    <oleObject progId="Word.Document.8" shapeId="1128814" r:id="rId1"/>
    <oleObject progId="Word.Document.8" shapeId="1131725" r:id="rId2"/>
    <oleObject progId="Word.Document.8" shapeId="1740006" r:id="rId3"/>
    <oleObject progId="Word.Document.8" shapeId="1758576" r:id="rId4"/>
    <oleObject progId="Word.Document.8" shapeId="1766230" r:id="rId5"/>
  </oleObjects>
</worksheet>
</file>

<file path=xl/worksheets/sheet10.xml><?xml version="1.0" encoding="utf-8"?>
<worksheet xmlns="http://schemas.openxmlformats.org/spreadsheetml/2006/main" xmlns:r="http://schemas.openxmlformats.org/officeDocument/2006/relationships">
  <dimension ref="A1:M58"/>
  <sheetViews>
    <sheetView zoomScale="75" zoomScaleNormal="75" zoomScalePageLayoutView="0" workbookViewId="0" topLeftCell="A15">
      <selection activeCell="K28" sqref="K28"/>
    </sheetView>
  </sheetViews>
  <sheetFormatPr defaultColWidth="9.00390625" defaultRowHeight="12.75"/>
  <sheetData>
    <row r="1" spans="1:9" ht="13.5">
      <c r="A1" s="425"/>
      <c r="B1" s="426"/>
      <c r="C1" s="426" t="s">
        <v>0</v>
      </c>
      <c r="D1" s="425"/>
      <c r="E1" s="425"/>
      <c r="F1" s="425" t="s">
        <v>188</v>
      </c>
      <c r="G1" s="425"/>
      <c r="H1" s="425"/>
      <c r="I1" s="425"/>
    </row>
    <row r="2" spans="1:9" ht="13.5">
      <c r="A2" s="425"/>
      <c r="B2" s="427"/>
      <c r="C2" s="425"/>
      <c r="D2" s="426" t="s">
        <v>1</v>
      </c>
      <c r="E2" s="425"/>
      <c r="F2" s="425"/>
      <c r="G2" s="425"/>
      <c r="H2" s="425"/>
      <c r="I2" s="425"/>
    </row>
    <row r="3" spans="1:9" ht="13.5">
      <c r="A3" s="425"/>
      <c r="B3" s="425"/>
      <c r="C3" s="425"/>
      <c r="D3" s="425"/>
      <c r="E3" s="425"/>
      <c r="F3" s="425"/>
      <c r="G3" s="425"/>
      <c r="H3" s="425"/>
      <c r="I3" s="425"/>
    </row>
    <row r="4" spans="1:9" ht="13.5">
      <c r="A4" s="426" t="s">
        <v>2</v>
      </c>
      <c r="B4" s="425"/>
      <c r="C4" s="425"/>
      <c r="D4" s="425"/>
      <c r="E4" s="425"/>
      <c r="F4" s="425"/>
      <c r="G4" s="425"/>
      <c r="H4" s="425"/>
      <c r="I4" s="425"/>
    </row>
    <row r="5" spans="1:9" ht="13.5">
      <c r="A5" s="426" t="s">
        <v>3</v>
      </c>
      <c r="B5" s="425"/>
      <c r="C5" s="426" t="s">
        <v>4</v>
      </c>
      <c r="D5" s="425"/>
      <c r="E5" s="425"/>
      <c r="F5" s="425"/>
      <c r="G5" s="425"/>
      <c r="H5" s="425"/>
      <c r="I5" s="425"/>
    </row>
    <row r="6" spans="1:9" ht="13.5">
      <c r="A6" s="425"/>
      <c r="B6" s="425"/>
      <c r="C6" s="425"/>
      <c r="D6" s="425"/>
      <c r="E6" s="425"/>
      <c r="F6" s="425"/>
      <c r="G6" s="425"/>
      <c r="H6" s="425"/>
      <c r="I6" s="425"/>
    </row>
    <row r="7" spans="1:9" ht="13.5">
      <c r="A7" s="425"/>
      <c r="B7" s="426" t="s">
        <v>5</v>
      </c>
      <c r="C7" s="425"/>
      <c r="D7" s="425"/>
      <c r="E7" s="425"/>
      <c r="F7" s="425"/>
      <c r="G7" s="425"/>
      <c r="H7" s="425"/>
      <c r="I7" s="425"/>
    </row>
    <row r="8" spans="1:9" ht="13.5">
      <c r="A8" s="427"/>
      <c r="B8" s="426" t="s">
        <v>77</v>
      </c>
      <c r="C8" s="425"/>
      <c r="D8" s="426"/>
      <c r="E8" s="425"/>
      <c r="F8" s="425"/>
      <c r="G8" s="425"/>
      <c r="H8" s="425"/>
      <c r="I8" s="425"/>
    </row>
    <row r="9" spans="1:9" ht="13.5">
      <c r="A9" s="425"/>
      <c r="B9" s="426" t="s">
        <v>6</v>
      </c>
      <c r="C9" s="426"/>
      <c r="D9" s="425"/>
      <c r="E9" s="425"/>
      <c r="F9" s="425"/>
      <c r="G9" s="425"/>
      <c r="H9" s="425"/>
      <c r="I9" s="425"/>
    </row>
    <row r="10" spans="1:9" ht="13.5">
      <c r="A10" s="425"/>
      <c r="B10" s="425"/>
      <c r="C10" s="425"/>
      <c r="D10" s="425"/>
      <c r="E10" s="425"/>
      <c r="F10" s="425"/>
      <c r="G10" s="426"/>
      <c r="H10" s="426"/>
      <c r="I10" s="425"/>
    </row>
    <row r="11" spans="1:9" ht="13.5">
      <c r="A11" s="425"/>
      <c r="B11" s="426" t="s">
        <v>7</v>
      </c>
      <c r="C11" s="426"/>
      <c r="D11" s="426" t="s">
        <v>8</v>
      </c>
      <c r="E11" s="426"/>
      <c r="F11" s="425"/>
      <c r="G11" s="425"/>
      <c r="H11" s="425"/>
      <c r="I11" s="425"/>
    </row>
    <row r="12" spans="1:9" ht="13.5">
      <c r="A12" s="426" t="s">
        <v>9</v>
      </c>
      <c r="B12" s="425"/>
      <c r="C12" s="425"/>
      <c r="D12" s="426" t="s">
        <v>10</v>
      </c>
      <c r="E12" s="426"/>
      <c r="F12" s="425"/>
      <c r="G12" s="425"/>
      <c r="H12" s="425"/>
      <c r="I12" s="425"/>
    </row>
    <row r="13" spans="1:9" ht="13.5">
      <c r="A13" s="425"/>
      <c r="B13" s="425"/>
      <c r="C13" s="425"/>
      <c r="D13" s="426" t="s">
        <v>11</v>
      </c>
      <c r="E13" s="426"/>
      <c r="F13" s="425"/>
      <c r="G13" s="425"/>
      <c r="H13" s="425"/>
      <c r="I13" s="425"/>
    </row>
    <row r="14" spans="1:9" ht="13.5">
      <c r="A14" s="425"/>
      <c r="B14" s="425"/>
      <c r="C14" s="425"/>
      <c r="D14" s="426" t="s">
        <v>12</v>
      </c>
      <c r="E14" s="426"/>
      <c r="F14" s="425"/>
      <c r="G14" s="425"/>
      <c r="H14" s="425"/>
      <c r="I14" s="425"/>
    </row>
    <row r="15" spans="1:9" ht="13.5">
      <c r="A15" s="425"/>
      <c r="B15" s="425"/>
      <c r="C15" s="425"/>
      <c r="D15" s="425"/>
      <c r="E15" s="425"/>
      <c r="F15" s="425"/>
      <c r="G15" s="425"/>
      <c r="H15" s="425"/>
      <c r="I15" s="425"/>
    </row>
    <row r="16" spans="1:13" ht="13.5">
      <c r="A16" s="426" t="s">
        <v>13</v>
      </c>
      <c r="B16" s="425"/>
      <c r="C16" s="425"/>
      <c r="D16" s="425"/>
      <c r="E16" s="425"/>
      <c r="F16" s="425"/>
      <c r="G16" s="425"/>
      <c r="H16" s="425"/>
      <c r="I16" s="425"/>
      <c r="K16" s="775"/>
      <c r="M16" s="39"/>
    </row>
    <row r="17" spans="1:11" ht="13.5">
      <c r="A17" s="425"/>
      <c r="B17" s="426" t="s">
        <v>14</v>
      </c>
      <c r="C17" s="425"/>
      <c r="D17" s="425"/>
      <c r="E17" s="426" t="s">
        <v>15</v>
      </c>
      <c r="F17" s="425"/>
      <c r="G17" s="425"/>
      <c r="H17" s="425"/>
      <c r="I17" s="425"/>
      <c r="K17" s="774"/>
    </row>
    <row r="18" spans="1:11" ht="13.5">
      <c r="A18" s="425"/>
      <c r="B18" s="426" t="s">
        <v>16</v>
      </c>
      <c r="C18" s="425">
        <v>4</v>
      </c>
      <c r="D18" s="428">
        <v>5</v>
      </c>
      <c r="E18" s="428">
        <v>6</v>
      </c>
      <c r="F18" s="428">
        <v>7</v>
      </c>
      <c r="G18" s="428">
        <v>8</v>
      </c>
      <c r="H18" s="428">
        <v>9</v>
      </c>
      <c r="I18" s="428">
        <v>10</v>
      </c>
      <c r="K18" s="774"/>
    </row>
    <row r="19" spans="1:11" ht="13.5">
      <c r="A19" s="425"/>
      <c r="B19" s="428">
        <v>0</v>
      </c>
      <c r="C19" s="429">
        <f aca="true" t="shared" si="0" ref="C19:C25">$B19/$C$18-(57.3/$C$18)*SIN($B19/57.3)</f>
        <v>0</v>
      </c>
      <c r="D19" s="429">
        <f aca="true" t="shared" si="1" ref="D19:D25">$B19/$D$18-(57.3/$D$18)*SIN($B19/57.3)</f>
        <v>0</v>
      </c>
      <c r="E19" s="429">
        <f aca="true" t="shared" si="2" ref="E19:E25">$B19/$E$18-(57.3/$E$18)*SIN($B19/57.3)</f>
        <v>0</v>
      </c>
      <c r="F19" s="429">
        <f aca="true" t="shared" si="3" ref="F19:F25">$B19/$F$18-(57.3/$F$18)*SIN($B19/57.3)</f>
        <v>0</v>
      </c>
      <c r="G19" s="429">
        <f aca="true" t="shared" si="4" ref="G19:G25">$B19/$G$18-(57.3/$G$18)*SIN($B19/57.3)</f>
        <v>0</v>
      </c>
      <c r="H19" s="429">
        <f aca="true" t="shared" si="5" ref="H19:H25">$B19/$H$18-(57.3/$H$18)*SIN($B19/57.3)</f>
        <v>0</v>
      </c>
      <c r="I19" s="429">
        <f aca="true" t="shared" si="6" ref="I19:I25">$B19/$I$18-(57.3/$I$18)*SIN($B19/57.3)</f>
        <v>0</v>
      </c>
      <c r="K19" s="774"/>
    </row>
    <row r="20" spans="1:11" ht="13.5">
      <c r="A20" s="425"/>
      <c r="B20" s="428">
        <v>30</v>
      </c>
      <c r="C20" s="429">
        <f t="shared" si="0"/>
        <v>0.3379784501069567</v>
      </c>
      <c r="D20" s="429">
        <f t="shared" si="1"/>
        <v>0.27038276008556483</v>
      </c>
      <c r="E20" s="429">
        <f t="shared" si="2"/>
        <v>0.22531896673797114</v>
      </c>
      <c r="F20" s="429">
        <f t="shared" si="3"/>
        <v>0.1931305429182606</v>
      </c>
      <c r="G20" s="429">
        <f t="shared" si="4"/>
        <v>0.16898922505347835</v>
      </c>
      <c r="H20" s="429">
        <f t="shared" si="5"/>
        <v>0.1502126444919809</v>
      </c>
      <c r="I20" s="429">
        <f t="shared" si="6"/>
        <v>0.13519138004278242</v>
      </c>
      <c r="K20" s="774"/>
    </row>
    <row r="21" spans="1:11" ht="13.5">
      <c r="A21" s="425"/>
      <c r="B21" s="428">
        <v>60</v>
      </c>
      <c r="C21" s="429">
        <f t="shared" si="0"/>
        <v>2.59473858813657</v>
      </c>
      <c r="D21" s="429">
        <f t="shared" si="1"/>
        <v>2.075790870509257</v>
      </c>
      <c r="E21" s="429">
        <f t="shared" si="2"/>
        <v>1.72982572542438</v>
      </c>
      <c r="F21" s="429">
        <f t="shared" si="3"/>
        <v>1.4827077646494686</v>
      </c>
      <c r="G21" s="429">
        <f t="shared" si="4"/>
        <v>1.297369294068285</v>
      </c>
      <c r="H21" s="429">
        <f t="shared" si="5"/>
        <v>1.153217150282921</v>
      </c>
      <c r="I21" s="429">
        <f t="shared" si="6"/>
        <v>1.0378954352546286</v>
      </c>
      <c r="K21" s="774"/>
    </row>
    <row r="22" spans="1:11" ht="13.5">
      <c r="A22" s="425"/>
      <c r="B22" s="428">
        <v>90</v>
      </c>
      <c r="C22" s="429">
        <f t="shared" si="0"/>
        <v>8.175000095878287</v>
      </c>
      <c r="D22" s="429">
        <f t="shared" si="1"/>
        <v>6.540000076702629</v>
      </c>
      <c r="E22" s="429">
        <f t="shared" si="2"/>
        <v>5.450000063918859</v>
      </c>
      <c r="F22" s="429">
        <f t="shared" si="3"/>
        <v>4.671428626216164</v>
      </c>
      <c r="G22" s="429">
        <f t="shared" si="4"/>
        <v>4.087500047939144</v>
      </c>
      <c r="H22" s="429">
        <f t="shared" si="5"/>
        <v>3.633333375945906</v>
      </c>
      <c r="I22" s="429">
        <f t="shared" si="6"/>
        <v>3.2700000383513146</v>
      </c>
      <c r="K22" s="774"/>
    </row>
    <row r="23" spans="1:11" ht="13.5">
      <c r="A23" s="425"/>
      <c r="B23" s="428">
        <v>120</v>
      </c>
      <c r="C23" s="429">
        <f t="shared" si="0"/>
        <v>17.593081317515313</v>
      </c>
      <c r="D23" s="429">
        <f t="shared" si="1"/>
        <v>14.074465054012252</v>
      </c>
      <c r="E23" s="429">
        <f t="shared" si="2"/>
        <v>11.728720878343545</v>
      </c>
      <c r="F23" s="429">
        <f t="shared" si="3"/>
        <v>10.053189324294465</v>
      </c>
      <c r="G23" s="429">
        <f t="shared" si="4"/>
        <v>8.796540658757657</v>
      </c>
      <c r="H23" s="429">
        <f t="shared" si="5"/>
        <v>7.81914725222903</v>
      </c>
      <c r="I23" s="429">
        <f t="shared" si="6"/>
        <v>7.037232527006126</v>
      </c>
      <c r="K23" s="774"/>
    </row>
    <row r="24" spans="1:11" ht="13.5">
      <c r="A24" s="425"/>
      <c r="B24" s="428">
        <v>150</v>
      </c>
      <c r="C24" s="429">
        <f t="shared" si="0"/>
        <v>30.3351079092766</v>
      </c>
      <c r="D24" s="429">
        <f t="shared" si="1"/>
        <v>24.26808632742128</v>
      </c>
      <c r="E24" s="429">
        <f t="shared" si="2"/>
        <v>20.223405272851068</v>
      </c>
      <c r="F24" s="429">
        <f t="shared" si="3"/>
        <v>17.334347376729486</v>
      </c>
      <c r="G24" s="429">
        <f t="shared" si="4"/>
        <v>15.1675539546383</v>
      </c>
      <c r="H24" s="429">
        <f t="shared" si="5"/>
        <v>13.482270181900713</v>
      </c>
      <c r="I24" s="429">
        <f t="shared" si="6"/>
        <v>12.13404316371064</v>
      </c>
      <c r="K24" s="774"/>
    </row>
    <row r="25" spans="1:11" ht="13.5">
      <c r="A25" s="425"/>
      <c r="B25" s="428">
        <v>180</v>
      </c>
      <c r="C25" s="429">
        <f t="shared" si="0"/>
        <v>44.9966852373558</v>
      </c>
      <c r="D25" s="429">
        <f t="shared" si="1"/>
        <v>35.99734818988464</v>
      </c>
      <c r="E25" s="429">
        <f t="shared" si="2"/>
        <v>29.997790158237198</v>
      </c>
      <c r="F25" s="429">
        <f t="shared" si="3"/>
        <v>25.712391564203312</v>
      </c>
      <c r="G25" s="429">
        <f t="shared" si="4"/>
        <v>22.4983426186779</v>
      </c>
      <c r="H25" s="429">
        <f t="shared" si="5"/>
        <v>19.998526772158133</v>
      </c>
      <c r="I25" s="429">
        <f t="shared" si="6"/>
        <v>17.99867409494232</v>
      </c>
      <c r="K25" s="774"/>
    </row>
    <row r="26" spans="1:11" ht="13.5">
      <c r="A26" s="425"/>
      <c r="B26" s="428"/>
      <c r="C26" s="429"/>
      <c r="D26" s="429"/>
      <c r="E26" s="429"/>
      <c r="F26" s="429"/>
      <c r="G26" s="429"/>
      <c r="H26" s="429"/>
      <c r="I26" s="429"/>
      <c r="K26" s="774"/>
    </row>
    <row r="27" spans="1:11" ht="13.5">
      <c r="A27" s="425"/>
      <c r="B27" s="425"/>
      <c r="C27" s="425"/>
      <c r="D27" s="425"/>
      <c r="E27" s="425"/>
      <c r="F27" s="425"/>
      <c r="G27" s="425"/>
      <c r="H27" s="425"/>
      <c r="I27" s="425"/>
      <c r="K27" s="774"/>
    </row>
    <row r="28" spans="1:11" ht="13.5">
      <c r="A28" s="426" t="s">
        <v>17</v>
      </c>
      <c r="B28" s="425"/>
      <c r="C28" s="425"/>
      <c r="D28" s="425"/>
      <c r="E28" s="425"/>
      <c r="F28" s="425"/>
      <c r="G28" s="425"/>
      <c r="H28" s="425"/>
      <c r="I28" s="425"/>
      <c r="K28" s="774"/>
    </row>
    <row r="29" spans="1:11" ht="13.5">
      <c r="A29" s="425"/>
      <c r="B29" s="426" t="s">
        <v>14</v>
      </c>
      <c r="C29" s="425"/>
      <c r="D29" s="425"/>
      <c r="E29" s="426" t="s">
        <v>15</v>
      </c>
      <c r="F29" s="425"/>
      <c r="G29" s="425"/>
      <c r="H29" s="425"/>
      <c r="I29" s="425"/>
      <c r="K29" s="774"/>
    </row>
    <row r="30" spans="1:11" ht="13.5">
      <c r="A30" s="425"/>
      <c r="B30" s="426" t="s">
        <v>16</v>
      </c>
      <c r="C30" s="425">
        <v>4</v>
      </c>
      <c r="D30" s="428">
        <v>5</v>
      </c>
      <c r="E30" s="428">
        <v>6</v>
      </c>
      <c r="F30" s="772">
        <v>7</v>
      </c>
      <c r="G30" s="772">
        <v>8</v>
      </c>
      <c r="H30" s="428">
        <v>9</v>
      </c>
      <c r="I30" s="428">
        <v>10</v>
      </c>
      <c r="K30" s="774"/>
    </row>
    <row r="31" spans="1:11" ht="13.5">
      <c r="A31" s="425"/>
      <c r="B31" s="428">
        <v>0</v>
      </c>
      <c r="C31" s="429">
        <f aca="true" t="shared" si="7" ref="C31:C37">$B31/$C$18-(57.3/$C$18)*SIN($B31/57.3)+$B31*6/180</f>
        <v>0</v>
      </c>
      <c r="D31" s="429">
        <f aca="true" t="shared" si="8" ref="D31:D37">$B31/$D$18-(57.3/$D$18)*SIN($B31/57.3)+$B31*6/180</f>
        <v>0</v>
      </c>
      <c r="E31" s="429">
        <f aca="true" t="shared" si="9" ref="E31:E37">$B31/$E$18-(57.3/$E$18)*SIN($B31/57.3)+$B31*6/180</f>
        <v>0</v>
      </c>
      <c r="F31" s="773">
        <f aca="true" t="shared" si="10" ref="F31:F37">$B31/$F$18-(57.3/$F$18)*SIN($B31/57.3)+$B31*6/180</f>
        <v>0</v>
      </c>
      <c r="G31" s="773">
        <f aca="true" t="shared" si="11" ref="G31:G37">$B31/$G$18-(57.3/$G$18)*SIN($B31/57.3)+$B31*6/180</f>
        <v>0</v>
      </c>
      <c r="H31" s="429">
        <f aca="true" t="shared" si="12" ref="H31:H37">$B31/$H$18-(57.3/$H$18)*SIN($B31/57.3)+$B31*6/180</f>
        <v>0</v>
      </c>
      <c r="I31" s="429">
        <f aca="true" t="shared" si="13" ref="I31:I37">$B31/$I$18-(57.3/$I$18)*SIN($B31/57.3)+$B31*6/180</f>
        <v>0</v>
      </c>
      <c r="K31" s="774"/>
    </row>
    <row r="32" spans="1:11" ht="13.5">
      <c r="A32" s="425"/>
      <c r="B32" s="428">
        <v>30</v>
      </c>
      <c r="C32" s="429">
        <f t="shared" si="7"/>
        <v>1.3379784501069567</v>
      </c>
      <c r="D32" s="429">
        <f t="shared" si="8"/>
        <v>1.2703827600855648</v>
      </c>
      <c r="E32" s="429">
        <f t="shared" si="9"/>
        <v>1.2253189667379711</v>
      </c>
      <c r="F32" s="773">
        <f t="shared" si="10"/>
        <v>1.1931305429182606</v>
      </c>
      <c r="G32" s="773">
        <f t="shared" si="11"/>
        <v>1.1689892250534784</v>
      </c>
      <c r="H32" s="429">
        <f t="shared" si="12"/>
        <v>1.150212644491981</v>
      </c>
      <c r="I32" s="429">
        <f t="shared" si="13"/>
        <v>1.1351913800427824</v>
      </c>
      <c r="K32" s="774"/>
    </row>
    <row r="33" spans="1:11" ht="13.5">
      <c r="A33" s="425"/>
      <c r="B33" s="428">
        <v>60</v>
      </c>
      <c r="C33" s="429">
        <f t="shared" si="7"/>
        <v>4.59473858813657</v>
      </c>
      <c r="D33" s="429">
        <f t="shared" si="8"/>
        <v>4.075790870509257</v>
      </c>
      <c r="E33" s="429">
        <f t="shared" si="9"/>
        <v>3.72982572542438</v>
      </c>
      <c r="F33" s="773">
        <f t="shared" si="10"/>
        <v>3.4827077646494686</v>
      </c>
      <c r="G33" s="773">
        <f t="shared" si="11"/>
        <v>3.297369294068285</v>
      </c>
      <c r="H33" s="429">
        <f t="shared" si="12"/>
        <v>3.153217150282921</v>
      </c>
      <c r="I33" s="429">
        <f t="shared" si="13"/>
        <v>3.0378954352546286</v>
      </c>
      <c r="K33" s="774"/>
    </row>
    <row r="34" spans="1:11" ht="13.5">
      <c r="A34" s="425"/>
      <c r="B34" s="428">
        <v>90</v>
      </c>
      <c r="C34" s="429">
        <f t="shared" si="7"/>
        <v>11.175000095878287</v>
      </c>
      <c r="D34" s="429">
        <f t="shared" si="8"/>
        <v>9.54000007670263</v>
      </c>
      <c r="E34" s="429">
        <f t="shared" si="9"/>
        <v>8.450000063918859</v>
      </c>
      <c r="F34" s="773">
        <f t="shared" si="10"/>
        <v>7.671428626216164</v>
      </c>
      <c r="G34" s="773">
        <f t="shared" si="11"/>
        <v>7.087500047939144</v>
      </c>
      <c r="H34" s="429">
        <f t="shared" si="12"/>
        <v>6.633333375945906</v>
      </c>
      <c r="I34" s="429">
        <f t="shared" si="13"/>
        <v>6.270000038351315</v>
      </c>
      <c r="K34" s="774"/>
    </row>
    <row r="35" spans="1:11" ht="13.5">
      <c r="A35" s="425"/>
      <c r="B35" s="428">
        <v>120</v>
      </c>
      <c r="C35" s="429">
        <f t="shared" si="7"/>
        <v>21.593081317515313</v>
      </c>
      <c r="D35" s="429">
        <f t="shared" si="8"/>
        <v>18.07446505401225</v>
      </c>
      <c r="E35" s="429">
        <f t="shared" si="9"/>
        <v>15.728720878343545</v>
      </c>
      <c r="F35" s="773">
        <f t="shared" si="10"/>
        <v>14.053189324294465</v>
      </c>
      <c r="G35" s="773">
        <f t="shared" si="11"/>
        <v>12.796540658757657</v>
      </c>
      <c r="H35" s="429">
        <f t="shared" si="12"/>
        <v>11.81914725222903</v>
      </c>
      <c r="I35" s="429">
        <f t="shared" si="13"/>
        <v>11.037232527006125</v>
      </c>
      <c r="K35" s="774"/>
    </row>
    <row r="36" spans="1:11" ht="13.5">
      <c r="A36" s="425"/>
      <c r="B36" s="428">
        <v>150</v>
      </c>
      <c r="C36" s="429">
        <f t="shared" si="7"/>
        <v>35.3351079092766</v>
      </c>
      <c r="D36" s="429">
        <f t="shared" si="8"/>
        <v>29.26808632742128</v>
      </c>
      <c r="E36" s="429">
        <f t="shared" si="9"/>
        <v>25.223405272851068</v>
      </c>
      <c r="F36" s="773">
        <f t="shared" si="10"/>
        <v>22.334347376729486</v>
      </c>
      <c r="G36" s="773">
        <f t="shared" si="11"/>
        <v>20.1675539546383</v>
      </c>
      <c r="H36" s="429">
        <f t="shared" si="12"/>
        <v>18.482270181900713</v>
      </c>
      <c r="I36" s="429">
        <f t="shared" si="13"/>
        <v>17.13404316371064</v>
      </c>
      <c r="K36" s="774"/>
    </row>
    <row r="37" spans="1:11" ht="13.5">
      <c r="A37" s="425"/>
      <c r="B37" s="428">
        <v>180</v>
      </c>
      <c r="C37" s="429">
        <f t="shared" si="7"/>
        <v>50.9966852373558</v>
      </c>
      <c r="D37" s="429">
        <f t="shared" si="8"/>
        <v>41.99734818988464</v>
      </c>
      <c r="E37" s="429">
        <f t="shared" si="9"/>
        <v>35.997790158237194</v>
      </c>
      <c r="F37" s="773">
        <f t="shared" si="10"/>
        <v>31.712391564203312</v>
      </c>
      <c r="G37" s="773">
        <f t="shared" si="11"/>
        <v>28.4983426186779</v>
      </c>
      <c r="H37" s="429">
        <f t="shared" si="12"/>
        <v>25.998526772158133</v>
      </c>
      <c r="I37" s="429">
        <f t="shared" si="13"/>
        <v>23.99867409494232</v>
      </c>
      <c r="K37" s="774"/>
    </row>
    <row r="38" spans="1:11" ht="13.5">
      <c r="A38" s="425"/>
      <c r="B38" s="428"/>
      <c r="C38" s="425"/>
      <c r="D38" s="429"/>
      <c r="E38" s="429"/>
      <c r="F38" s="773"/>
      <c r="G38" s="773"/>
      <c r="H38" s="429"/>
      <c r="I38" s="429"/>
      <c r="K38" s="774"/>
    </row>
    <row r="39" spans="1:11" ht="13.5">
      <c r="A39" s="425"/>
      <c r="B39" s="428"/>
      <c r="C39" s="425"/>
      <c r="D39" s="429"/>
      <c r="E39" s="429"/>
      <c r="F39" s="773"/>
      <c r="G39" s="773"/>
      <c r="H39" s="429"/>
      <c r="I39" s="429"/>
      <c r="K39" s="774"/>
    </row>
    <row r="40" spans="1:9" ht="13.5">
      <c r="A40" s="425"/>
      <c r="B40" s="428"/>
      <c r="C40" s="425"/>
      <c r="D40" s="429"/>
      <c r="E40" s="429"/>
      <c r="F40" s="773"/>
      <c r="G40" s="773"/>
      <c r="H40" s="429"/>
      <c r="I40" s="429"/>
    </row>
    <row r="41" spans="1:9" ht="13.5">
      <c r="A41" s="425"/>
      <c r="B41" s="428"/>
      <c r="C41" s="425"/>
      <c r="D41" s="429"/>
      <c r="E41" s="429"/>
      <c r="F41" s="773"/>
      <c r="G41" s="773"/>
      <c r="H41" s="429"/>
      <c r="I41" s="429"/>
    </row>
    <row r="42" spans="1:9" ht="13.5">
      <c r="A42" s="425"/>
      <c r="B42" s="428"/>
      <c r="C42" s="425"/>
      <c r="D42" s="429"/>
      <c r="E42" s="429"/>
      <c r="F42" s="773"/>
      <c r="G42" s="773"/>
      <c r="H42" s="429"/>
      <c r="I42" s="429"/>
    </row>
    <row r="43" spans="1:9" ht="13.5">
      <c r="A43" s="425"/>
      <c r="B43" s="428"/>
      <c r="C43" s="425"/>
      <c r="D43" s="429"/>
      <c r="E43" s="429"/>
      <c r="F43" s="773"/>
      <c r="G43" s="773"/>
      <c r="H43" s="429"/>
      <c r="I43" s="429"/>
    </row>
    <row r="44" spans="4:7" ht="12">
      <c r="D44" s="430"/>
      <c r="F44" s="774"/>
      <c r="G44" s="774"/>
    </row>
    <row r="45" spans="6:7" ht="12">
      <c r="F45" s="774"/>
      <c r="G45" s="774"/>
    </row>
    <row r="46" spans="6:7" ht="12">
      <c r="F46" s="774"/>
      <c r="G46" s="774"/>
    </row>
    <row r="47" spans="6:7" ht="12">
      <c r="F47" s="774"/>
      <c r="G47" s="774"/>
    </row>
    <row r="48" spans="6:7" ht="12">
      <c r="F48" s="774"/>
      <c r="G48" s="774"/>
    </row>
    <row r="49" spans="6:7" ht="12">
      <c r="F49" s="774"/>
      <c r="G49" s="774"/>
    </row>
    <row r="50" spans="6:7" ht="12">
      <c r="F50" s="774"/>
      <c r="G50" s="774"/>
    </row>
    <row r="51" spans="6:7" ht="12">
      <c r="F51" s="774"/>
      <c r="G51" s="774"/>
    </row>
    <row r="52" spans="6:7" ht="12">
      <c r="F52" s="774"/>
      <c r="G52" s="774"/>
    </row>
    <row r="53" spans="6:7" ht="12">
      <c r="F53" s="774"/>
      <c r="G53" s="774"/>
    </row>
    <row r="54" spans="6:7" ht="12">
      <c r="F54" s="774"/>
      <c r="G54" s="774"/>
    </row>
    <row r="55" spans="6:7" ht="12">
      <c r="F55" s="774"/>
      <c r="G55" s="774"/>
    </row>
    <row r="56" spans="6:7" ht="12">
      <c r="F56" s="774"/>
      <c r="G56" s="774"/>
    </row>
    <row r="57" spans="6:7" ht="12">
      <c r="F57" s="774"/>
      <c r="G57" s="774"/>
    </row>
    <row r="58" spans="6:7" ht="12">
      <c r="F58" s="774"/>
      <c r="G58" s="774"/>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F51"/>
  <sheetViews>
    <sheetView view="pageBreakPreview" zoomScaleSheetLayoutView="100" zoomScalePageLayoutView="0" workbookViewId="0" topLeftCell="A1">
      <selection activeCell="H25" sqref="H25"/>
    </sheetView>
  </sheetViews>
  <sheetFormatPr defaultColWidth="9.00390625" defaultRowHeight="12.75"/>
  <cols>
    <col min="1" max="1" width="4.125" style="0" customWidth="1"/>
  </cols>
  <sheetData>
    <row r="1" spans="5:6" ht="18.75">
      <c r="E1" s="808" t="s">
        <v>241</v>
      </c>
      <c r="F1" s="809"/>
    </row>
    <row r="2" ht="12">
      <c r="A2" s="55" t="s">
        <v>242</v>
      </c>
    </row>
    <row r="4" spans="1:5" ht="12">
      <c r="A4">
        <v>1</v>
      </c>
      <c r="B4" t="s">
        <v>243</v>
      </c>
      <c r="E4" t="s">
        <v>244</v>
      </c>
    </row>
    <row r="5" ht="12">
      <c r="E5" t="s">
        <v>246</v>
      </c>
    </row>
    <row r="6" ht="12">
      <c r="E6" t="s">
        <v>245</v>
      </c>
    </row>
    <row r="7" ht="12">
      <c r="E7" t="s">
        <v>279</v>
      </c>
    </row>
    <row r="9" spans="1:5" ht="12">
      <c r="A9">
        <v>2</v>
      </c>
      <c r="B9" t="s">
        <v>247</v>
      </c>
      <c r="E9" t="s">
        <v>248</v>
      </c>
    </row>
    <row r="10" ht="12">
      <c r="C10" t="s">
        <v>249</v>
      </c>
    </row>
    <row r="11" ht="12">
      <c r="C11" t="s">
        <v>250</v>
      </c>
    </row>
    <row r="13" ht="12">
      <c r="A13" s="55" t="s">
        <v>251</v>
      </c>
    </row>
    <row r="15" spans="1:3" ht="12">
      <c r="A15">
        <v>1</v>
      </c>
      <c r="B15" t="s">
        <v>252</v>
      </c>
      <c r="C15" s="39" t="s">
        <v>253</v>
      </c>
    </row>
    <row r="17" spans="1:2" ht="12">
      <c r="A17">
        <v>2</v>
      </c>
      <c r="B17" t="s">
        <v>254</v>
      </c>
    </row>
    <row r="19" spans="1:2" ht="12">
      <c r="A19">
        <v>3</v>
      </c>
      <c r="B19" t="s">
        <v>255</v>
      </c>
    </row>
    <row r="21" ht="12">
      <c r="A21" s="55" t="s">
        <v>256</v>
      </c>
    </row>
    <row r="23" spans="1:3" ht="12">
      <c r="A23">
        <v>1</v>
      </c>
      <c r="B23" t="s">
        <v>257</v>
      </c>
      <c r="C23" t="s">
        <v>258</v>
      </c>
    </row>
    <row r="24" ht="12">
      <c r="C24" t="s">
        <v>259</v>
      </c>
    </row>
    <row r="25" ht="12">
      <c r="C25" t="s">
        <v>260</v>
      </c>
    </row>
    <row r="27" spans="1:4" ht="12">
      <c r="A27">
        <v>2</v>
      </c>
      <c r="B27" t="s">
        <v>261</v>
      </c>
      <c r="C27" t="s">
        <v>262</v>
      </c>
      <c r="D27" t="s">
        <v>263</v>
      </c>
    </row>
    <row r="28" spans="3:4" ht="12">
      <c r="C28" t="s">
        <v>262</v>
      </c>
      <c r="D28" t="s">
        <v>264</v>
      </c>
    </row>
    <row r="29" spans="3:4" ht="12">
      <c r="C29" t="s">
        <v>262</v>
      </c>
      <c r="D29" t="s">
        <v>265</v>
      </c>
    </row>
    <row r="30" ht="12">
      <c r="C30" t="s">
        <v>284</v>
      </c>
    </row>
    <row r="31" ht="12">
      <c r="C31" t="s">
        <v>266</v>
      </c>
    </row>
    <row r="32" ht="12">
      <c r="C32" t="s">
        <v>267</v>
      </c>
    </row>
    <row r="33" ht="12">
      <c r="C33" t="s">
        <v>268</v>
      </c>
    </row>
    <row r="34" ht="12">
      <c r="C34" t="s">
        <v>285</v>
      </c>
    </row>
    <row r="35" ht="12">
      <c r="C35" t="s">
        <v>269</v>
      </c>
    </row>
    <row r="36" ht="12">
      <c r="C36" t="s">
        <v>270</v>
      </c>
    </row>
    <row r="37" ht="12">
      <c r="C37" t="s">
        <v>271</v>
      </c>
    </row>
    <row r="38" ht="12">
      <c r="D38" t="s">
        <v>272</v>
      </c>
    </row>
    <row r="39" ht="12">
      <c r="D39" t="s">
        <v>273</v>
      </c>
    </row>
    <row r="41" spans="1:4" ht="12">
      <c r="A41">
        <v>3</v>
      </c>
      <c r="B41" t="s">
        <v>274</v>
      </c>
      <c r="C41" t="s">
        <v>275</v>
      </c>
      <c r="D41" t="s">
        <v>276</v>
      </c>
    </row>
    <row r="43" spans="1:5" ht="12">
      <c r="A43">
        <v>4</v>
      </c>
      <c r="B43" t="s">
        <v>280</v>
      </c>
      <c r="E43" t="s">
        <v>281</v>
      </c>
    </row>
    <row r="45" spans="1:2" ht="12">
      <c r="A45">
        <v>5</v>
      </c>
      <c r="B45" t="s">
        <v>282</v>
      </c>
    </row>
    <row r="47" spans="1:2" ht="12">
      <c r="A47">
        <v>6</v>
      </c>
      <c r="B47" t="s">
        <v>277</v>
      </c>
    </row>
    <row r="49" spans="1:2" ht="12">
      <c r="A49">
        <v>7</v>
      </c>
      <c r="B49" t="s">
        <v>278</v>
      </c>
    </row>
    <row r="51" spans="1:2" ht="12">
      <c r="A51">
        <v>8</v>
      </c>
      <c r="B51" t="s">
        <v>283</v>
      </c>
    </row>
  </sheetData>
  <sheetProtection/>
  <printOptions/>
  <pageMargins left="0.75" right="0.75" top="0.5" bottom="0" header="0" footer="0"/>
  <pageSetup fitToHeight="1" fitToWidth="1" horizontalDpi="1200" verticalDpi="12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O53" sqref="O53"/>
    </sheetView>
  </sheetViews>
  <sheetFormatPr defaultColWidth="9.125" defaultRowHeight="12.75"/>
  <cols>
    <col min="1" max="1" width="2.75390625" style="522" customWidth="1"/>
    <col min="2" max="2" width="13.00390625" style="522" customWidth="1"/>
    <col min="3" max="3" width="6.375" style="522" customWidth="1"/>
    <col min="4" max="4" width="9.125" style="522" customWidth="1"/>
    <col min="5" max="5" width="9.75390625" style="522" customWidth="1"/>
    <col min="6" max="6" width="17.00390625" style="522" customWidth="1"/>
    <col min="7" max="7" width="17.25390625" style="522" customWidth="1"/>
    <col min="8" max="8" width="12.125" style="522" customWidth="1"/>
    <col min="9" max="9" width="1.00390625" style="522" customWidth="1"/>
    <col min="10" max="10" width="5.875" style="522" customWidth="1"/>
    <col min="11" max="12" width="7.625" style="522" customWidth="1"/>
    <col min="13" max="13" width="9.125" style="522" customWidth="1"/>
    <col min="14" max="14" width="2.625" style="522" customWidth="1"/>
    <col min="15" max="15" width="9.125" style="525" customWidth="1"/>
    <col min="16" max="16384" width="9.125" style="522" customWidth="1"/>
  </cols>
  <sheetData>
    <row r="1" spans="1:14" ht="33" customHeight="1" thickBot="1">
      <c r="A1" s="523"/>
      <c r="B1" s="1382" t="s">
        <v>338</v>
      </c>
      <c r="C1" s="1383"/>
      <c r="D1" s="1383"/>
      <c r="E1" s="1383"/>
      <c r="F1" s="1383"/>
      <c r="G1" s="1383"/>
      <c r="H1" s="1383"/>
      <c r="I1" s="1383"/>
      <c r="J1" s="1383"/>
      <c r="K1" s="1383"/>
      <c r="L1" s="1383"/>
      <c r="M1" s="1647"/>
      <c r="N1" s="524"/>
    </row>
    <row r="2" spans="1:14" ht="54.75" customHeight="1" thickBot="1">
      <c r="A2" s="526"/>
      <c r="B2" s="1155" t="s">
        <v>339</v>
      </c>
      <c r="C2" s="1156"/>
      <c r="D2" s="1156"/>
      <c r="E2" s="1156"/>
      <c r="F2" s="1156"/>
      <c r="G2" s="1156"/>
      <c r="H2" s="1156"/>
      <c r="I2" s="1156"/>
      <c r="J2" s="1156"/>
      <c r="K2" s="1156"/>
      <c r="L2" s="1156"/>
      <c r="M2" s="1157"/>
      <c r="N2" s="525"/>
    </row>
    <row r="3" spans="1:14" ht="30" customHeight="1">
      <c r="A3" s="526"/>
      <c r="B3" s="1218" t="s">
        <v>296</v>
      </c>
      <c r="C3" s="1164"/>
      <c r="D3" s="1187"/>
      <c r="E3" s="1188"/>
      <c r="F3" s="1188"/>
      <c r="G3" s="1189"/>
      <c r="H3" s="1163" t="s">
        <v>297</v>
      </c>
      <c r="I3" s="1164"/>
      <c r="J3" s="1175"/>
      <c r="K3" s="1176"/>
      <c r="L3" s="1176"/>
      <c r="M3" s="1177"/>
      <c r="N3" s="525"/>
    </row>
    <row r="4" spans="1:14" ht="30" customHeight="1">
      <c r="A4" s="526"/>
      <c r="B4" s="1165" t="s">
        <v>298</v>
      </c>
      <c r="C4" s="1166"/>
      <c r="D4" s="1225"/>
      <c r="E4" s="1226"/>
      <c r="F4" s="1226"/>
      <c r="G4" s="1227"/>
      <c r="H4" s="1054" t="s">
        <v>299</v>
      </c>
      <c r="I4" s="1055"/>
      <c r="J4" s="1222"/>
      <c r="K4" s="1223"/>
      <c r="L4" s="1223"/>
      <c r="M4" s="1224"/>
      <c r="N4" s="525"/>
    </row>
    <row r="5" spans="1:14" ht="30" customHeight="1">
      <c r="A5" s="526"/>
      <c r="B5" s="1165" t="s">
        <v>300</v>
      </c>
      <c r="C5" s="1166"/>
      <c r="D5" s="1066"/>
      <c r="E5" s="1067"/>
      <c r="F5" s="1067"/>
      <c r="G5" s="1068"/>
      <c r="H5" s="1069" t="s">
        <v>301</v>
      </c>
      <c r="I5" s="1070"/>
      <c r="J5" s="1219"/>
      <c r="K5" s="1220"/>
      <c r="L5" s="1220"/>
      <c r="M5" s="1221"/>
      <c r="N5" s="525"/>
    </row>
    <row r="6" spans="1:14" ht="30" customHeight="1" thickBot="1">
      <c r="A6" s="526"/>
      <c r="B6" s="1115" t="s">
        <v>302</v>
      </c>
      <c r="C6" s="1171"/>
      <c r="D6" s="1178"/>
      <c r="E6" s="1179"/>
      <c r="F6" s="1179"/>
      <c r="G6" s="937" t="s">
        <v>303</v>
      </c>
      <c r="H6" s="1180"/>
      <c r="I6" s="1181"/>
      <c r="J6" s="1181"/>
      <c r="K6" s="842" t="s">
        <v>304</v>
      </c>
      <c r="L6" s="1167"/>
      <c r="M6" s="1168"/>
      <c r="N6" s="525"/>
    </row>
    <row r="7" spans="1:14" ht="30" customHeight="1" thickBot="1">
      <c r="A7" s="526"/>
      <c r="B7" s="1169" t="s">
        <v>305</v>
      </c>
      <c r="C7" s="1170"/>
      <c r="D7" s="1161"/>
      <c r="E7" s="1162"/>
      <c r="F7" s="1162"/>
      <c r="G7" s="938" t="s">
        <v>306</v>
      </c>
      <c r="H7" s="1152"/>
      <c r="I7" s="1153"/>
      <c r="J7" s="1154"/>
      <c r="K7" s="1140" t="s">
        <v>307</v>
      </c>
      <c r="L7" s="1141"/>
      <c r="M7" s="1142"/>
      <c r="N7" s="763"/>
    </row>
    <row r="8" spans="1:14" ht="30" customHeight="1" thickBot="1">
      <c r="A8" s="526"/>
      <c r="B8" s="1648"/>
      <c r="C8" s="1265"/>
      <c r="D8" s="1265"/>
      <c r="E8" s="1265"/>
      <c r="F8" s="1265"/>
      <c r="G8" s="1265"/>
      <c r="H8" s="1265"/>
      <c r="I8" s="1265"/>
      <c r="J8" s="1265"/>
      <c r="K8" s="1201" t="s">
        <v>308</v>
      </c>
      <c r="L8" s="1202"/>
      <c r="M8" s="1203"/>
      <c r="N8" s="525"/>
    </row>
    <row r="9" spans="1:14" ht="30" customHeight="1" thickBot="1">
      <c r="A9" s="526"/>
      <c r="B9" s="1060" t="s">
        <v>209</v>
      </c>
      <c r="C9" s="1061"/>
      <c r="D9" s="1158"/>
      <c r="E9" s="1159"/>
      <c r="F9" s="1159"/>
      <c r="G9" s="1159"/>
      <c r="H9" s="1159"/>
      <c r="I9" s="1159"/>
      <c r="J9" s="1160"/>
      <c r="K9" s="1198"/>
      <c r="L9" s="1199"/>
      <c r="M9" s="1200"/>
      <c r="N9" s="525"/>
    </row>
    <row r="10" spans="1:14" ht="30" customHeight="1" thickBot="1">
      <c r="A10" s="526"/>
      <c r="B10" s="1210"/>
      <c r="C10" s="1211"/>
      <c r="D10" s="1212"/>
      <c r="E10" s="1212"/>
      <c r="F10" s="1212"/>
      <c r="G10" s="1212"/>
      <c r="H10" s="1212"/>
      <c r="I10" s="1212"/>
      <c r="J10" s="1212"/>
      <c r="K10" s="1146" t="s">
        <v>309</v>
      </c>
      <c r="L10" s="1147"/>
      <c r="M10" s="1148"/>
      <c r="N10" s="525"/>
    </row>
    <row r="11" spans="1:14" ht="30" customHeight="1" thickBot="1">
      <c r="A11" s="526"/>
      <c r="B11" s="1184" t="s">
        <v>310</v>
      </c>
      <c r="C11" s="1185"/>
      <c r="D11" s="1185"/>
      <c r="E11" s="1185"/>
      <c r="F11" s="1185"/>
      <c r="G11" s="1186"/>
      <c r="H11" s="1182" t="s">
        <v>311</v>
      </c>
      <c r="I11" s="1183"/>
      <c r="J11" s="1183"/>
      <c r="K11" s="1228" t="s">
        <v>308</v>
      </c>
      <c r="L11" s="1229"/>
      <c r="M11" s="1230"/>
      <c r="N11" s="525"/>
    </row>
    <row r="12" spans="1:14" ht="30" customHeight="1">
      <c r="A12" s="526"/>
      <c r="B12" s="1216" t="s">
        <v>312</v>
      </c>
      <c r="C12" s="1217"/>
      <c r="D12" s="1195"/>
      <c r="E12" s="1196"/>
      <c r="F12" s="1196"/>
      <c r="G12" s="1197"/>
      <c r="H12" s="1190"/>
      <c r="I12" s="1191"/>
      <c r="J12" s="1191"/>
      <c r="K12" s="1192"/>
      <c r="L12" s="1193"/>
      <c r="M12" s="1194"/>
      <c r="N12" s="525"/>
    </row>
    <row r="13" spans="1:14" ht="30" customHeight="1">
      <c r="A13" s="526"/>
      <c r="B13" s="1062" t="s">
        <v>313</v>
      </c>
      <c r="C13" s="1063"/>
      <c r="D13" s="1207"/>
      <c r="E13" s="1208"/>
      <c r="F13" s="1208"/>
      <c r="G13" s="1209"/>
      <c r="H13" s="1064"/>
      <c r="I13" s="1065"/>
      <c r="J13" s="1065"/>
      <c r="K13" s="1204"/>
      <c r="L13" s="1205"/>
      <c r="M13" s="1206"/>
      <c r="N13" s="525"/>
    </row>
    <row r="14" spans="1:14" ht="30" customHeight="1">
      <c r="A14" s="526"/>
      <c r="B14" s="1062" t="s">
        <v>314</v>
      </c>
      <c r="C14" s="1063"/>
      <c r="D14" s="1231"/>
      <c r="E14" s="1232"/>
      <c r="F14" s="1232"/>
      <c r="G14" s="1233"/>
      <c r="H14" s="1073"/>
      <c r="I14" s="1074"/>
      <c r="J14" s="1074"/>
      <c r="K14" s="1213"/>
      <c r="L14" s="1214"/>
      <c r="M14" s="1215"/>
      <c r="N14" s="525"/>
    </row>
    <row r="15" spans="1:14" ht="30" customHeight="1">
      <c r="A15" s="526"/>
      <c r="B15" s="1062" t="s">
        <v>315</v>
      </c>
      <c r="C15" s="1063"/>
      <c r="D15" s="1207"/>
      <c r="E15" s="1208"/>
      <c r="F15" s="1208"/>
      <c r="G15" s="1209"/>
      <c r="H15" s="1064"/>
      <c r="I15" s="1065"/>
      <c r="J15" s="1065"/>
      <c r="K15" s="1204"/>
      <c r="L15" s="1205"/>
      <c r="M15" s="1206"/>
      <c r="N15" s="525"/>
    </row>
    <row r="16" spans="1:14" ht="30" customHeight="1">
      <c r="A16" s="526"/>
      <c r="B16" s="1062" t="s">
        <v>316</v>
      </c>
      <c r="C16" s="1063"/>
      <c r="D16" s="1231"/>
      <c r="E16" s="1232"/>
      <c r="F16" s="1232"/>
      <c r="G16" s="1233"/>
      <c r="H16" s="1073"/>
      <c r="I16" s="1074"/>
      <c r="J16" s="1074"/>
      <c r="K16" s="1213"/>
      <c r="L16" s="1214"/>
      <c r="M16" s="1215"/>
      <c r="N16" s="525"/>
    </row>
    <row r="17" spans="1:14" ht="30" customHeight="1">
      <c r="A17" s="526"/>
      <c r="B17" s="1062" t="s">
        <v>317</v>
      </c>
      <c r="C17" s="1063"/>
      <c r="D17" s="1207"/>
      <c r="E17" s="1208"/>
      <c r="F17" s="1208"/>
      <c r="G17" s="1209"/>
      <c r="H17" s="1064"/>
      <c r="I17" s="1065"/>
      <c r="J17" s="1065"/>
      <c r="K17" s="1204"/>
      <c r="L17" s="1205"/>
      <c r="M17" s="1206"/>
      <c r="N17" s="525"/>
    </row>
    <row r="18" spans="1:14" ht="30" customHeight="1">
      <c r="A18" s="526"/>
      <c r="B18" s="1062" t="s">
        <v>318</v>
      </c>
      <c r="C18" s="1063"/>
      <c r="D18" s="1207"/>
      <c r="E18" s="1208"/>
      <c r="F18" s="1208"/>
      <c r="G18" s="1209"/>
      <c r="H18" s="1064"/>
      <c r="I18" s="1065"/>
      <c r="J18" s="1065"/>
      <c r="K18" s="1204"/>
      <c r="L18" s="1205"/>
      <c r="M18" s="1206"/>
      <c r="N18" s="525"/>
    </row>
    <row r="19" spans="1:14" ht="30" customHeight="1" thickBot="1">
      <c r="A19" s="526"/>
      <c r="B19" s="1096" t="s">
        <v>319</v>
      </c>
      <c r="C19" s="1097"/>
      <c r="D19" s="1641"/>
      <c r="E19" s="1642"/>
      <c r="F19" s="1642"/>
      <c r="G19" s="1643"/>
      <c r="H19" s="1071"/>
      <c r="I19" s="1072"/>
      <c r="J19" s="1072"/>
      <c r="K19" s="1644"/>
      <c r="L19" s="1645"/>
      <c r="M19" s="1646"/>
      <c r="N19" s="525"/>
    </row>
    <row r="20" spans="1:14" ht="30" customHeight="1" thickBot="1">
      <c r="A20" s="526"/>
      <c r="B20" s="1075" t="s">
        <v>320</v>
      </c>
      <c r="C20" s="1112"/>
      <c r="D20" s="1113"/>
      <c r="E20" s="1113"/>
      <c r="F20" s="1113"/>
      <c r="G20" s="1114"/>
      <c r="H20" s="1081"/>
      <c r="I20" s="1082"/>
      <c r="J20" s="1083"/>
      <c r="K20" s="1084"/>
      <c r="L20" s="1085"/>
      <c r="M20" s="1086"/>
      <c r="N20" s="525"/>
    </row>
    <row r="21" spans="1:14" ht="30" customHeight="1" thickBot="1">
      <c r="A21" s="526"/>
      <c r="B21" s="1056" t="s">
        <v>321</v>
      </c>
      <c r="C21" s="1057"/>
      <c r="D21" s="1058"/>
      <c r="E21" s="1058"/>
      <c r="F21" s="1058"/>
      <c r="G21" s="1059"/>
      <c r="H21" s="1087"/>
      <c r="I21" s="1088"/>
      <c r="J21" s="1089"/>
      <c r="K21" s="1084"/>
      <c r="L21" s="1085"/>
      <c r="M21" s="1086"/>
      <c r="N21" s="525"/>
    </row>
    <row r="22" spans="1:14" ht="30" customHeight="1" thickBot="1">
      <c r="A22" s="526"/>
      <c r="B22" s="1075" t="s">
        <v>322</v>
      </c>
      <c r="C22" s="1076"/>
      <c r="D22" s="1076"/>
      <c r="E22" s="1076"/>
      <c r="F22" s="1076"/>
      <c r="G22" s="1076"/>
      <c r="H22" s="1076"/>
      <c r="I22" s="1076"/>
      <c r="J22" s="1077"/>
      <c r="K22" s="1078"/>
      <c r="L22" s="1079"/>
      <c r="M22" s="1080"/>
      <c r="N22" s="525"/>
    </row>
    <row r="23" spans="1:14" ht="30" customHeight="1" thickBot="1">
      <c r="A23" s="526"/>
      <c r="B23" s="1115" t="s">
        <v>323</v>
      </c>
      <c r="C23" s="1116"/>
      <c r="D23" s="1116"/>
      <c r="E23" s="1116"/>
      <c r="F23" s="1116"/>
      <c r="G23" s="1116"/>
      <c r="H23" s="1116"/>
      <c r="I23" s="1116"/>
      <c r="J23" s="1117"/>
      <c r="K23" s="1133"/>
      <c r="L23" s="1088"/>
      <c r="M23" s="1089"/>
      <c r="N23" s="525"/>
    </row>
    <row r="24" spans="1:14" ht="30" customHeight="1" thickBot="1">
      <c r="A24" s="526"/>
      <c r="B24" s="1143" t="s">
        <v>324</v>
      </c>
      <c r="C24" s="1144"/>
      <c r="D24" s="1144"/>
      <c r="E24" s="1144"/>
      <c r="F24" s="1144"/>
      <c r="G24" s="1144"/>
      <c r="H24" s="1144"/>
      <c r="I24" s="1144"/>
      <c r="J24" s="1145"/>
      <c r="K24" s="1078"/>
      <c r="L24" s="1079"/>
      <c r="M24" s="1080"/>
      <c r="N24" s="525"/>
    </row>
    <row r="25" spans="1:14" ht="30" customHeight="1" thickBot="1">
      <c r="A25" s="526"/>
      <c r="B25" s="1136" t="s">
        <v>325</v>
      </c>
      <c r="C25" s="1137"/>
      <c r="D25" s="1127"/>
      <c r="E25" s="1128"/>
      <c r="F25" s="1129"/>
      <c r="G25" s="848" t="s">
        <v>326</v>
      </c>
      <c r="H25" s="939"/>
      <c r="I25" s="1134" t="s">
        <v>327</v>
      </c>
      <c r="J25" s="1135"/>
      <c r="K25" s="1135"/>
      <c r="L25" s="1138"/>
      <c r="M25" s="1139"/>
      <c r="N25" s="525"/>
    </row>
    <row r="26" spans="1:14" ht="6" customHeight="1" thickBot="1">
      <c r="A26" s="526"/>
      <c r="B26" s="1130"/>
      <c r="C26" s="1131"/>
      <c r="D26" s="1131"/>
      <c r="E26" s="1131"/>
      <c r="F26" s="1131"/>
      <c r="G26" s="1131"/>
      <c r="H26" s="1131"/>
      <c r="I26" s="1131"/>
      <c r="J26" s="1131"/>
      <c r="K26" s="1131"/>
      <c r="L26" s="1131"/>
      <c r="M26" s="1132"/>
      <c r="N26" s="525"/>
    </row>
    <row r="27" spans="1:14" ht="30" customHeight="1">
      <c r="A27" s="526"/>
      <c r="B27" s="1124" t="s">
        <v>107</v>
      </c>
      <c r="C27" s="1125"/>
      <c r="D27" s="1125"/>
      <c r="E27" s="1125"/>
      <c r="F27" s="1125"/>
      <c r="G27" s="1125"/>
      <c r="H27" s="1125"/>
      <c r="I27" s="1125"/>
      <c r="J27" s="1125"/>
      <c r="K27" s="1125"/>
      <c r="L27" s="1125"/>
      <c r="M27" s="1126"/>
      <c r="N27" s="525"/>
    </row>
    <row r="28" spans="1:14" ht="19.5" customHeight="1">
      <c r="A28" s="526"/>
      <c r="B28" s="1098" t="s">
        <v>340</v>
      </c>
      <c r="C28" s="1099"/>
      <c r="D28" s="1099"/>
      <c r="E28" s="1099"/>
      <c r="F28" s="1099"/>
      <c r="G28" s="1099"/>
      <c r="H28" s="1099"/>
      <c r="I28" s="1099"/>
      <c r="J28" s="1099"/>
      <c r="K28" s="1099"/>
      <c r="L28" s="1099"/>
      <c r="M28" s="1100"/>
      <c r="N28" s="525"/>
    </row>
    <row r="29" spans="1:14" ht="19.5" customHeight="1">
      <c r="A29" s="526"/>
      <c r="B29" s="1101"/>
      <c r="C29" s="1099"/>
      <c r="D29" s="1099"/>
      <c r="E29" s="1099"/>
      <c r="F29" s="1099"/>
      <c r="G29" s="1099"/>
      <c r="H29" s="1099"/>
      <c r="I29" s="1099"/>
      <c r="J29" s="1099"/>
      <c r="K29" s="1099"/>
      <c r="L29" s="1099"/>
      <c r="M29" s="1100"/>
      <c r="N29" s="525"/>
    </row>
    <row r="30" spans="1:14" ht="19.5" customHeight="1">
      <c r="A30" s="526"/>
      <c r="B30" s="1101"/>
      <c r="C30" s="1099"/>
      <c r="D30" s="1099"/>
      <c r="E30" s="1099"/>
      <c r="F30" s="1099"/>
      <c r="G30" s="1099"/>
      <c r="H30" s="1099"/>
      <c r="I30" s="1099"/>
      <c r="J30" s="1099"/>
      <c r="K30" s="1099"/>
      <c r="L30" s="1099"/>
      <c r="M30" s="1100"/>
      <c r="N30" s="525"/>
    </row>
    <row r="31" spans="1:14" ht="52.5" customHeight="1" thickBot="1">
      <c r="A31" s="526"/>
      <c r="B31" s="1102"/>
      <c r="C31" s="1103"/>
      <c r="D31" s="1103"/>
      <c r="E31" s="1103"/>
      <c r="F31" s="1103"/>
      <c r="G31" s="1103"/>
      <c r="H31" s="1103"/>
      <c r="I31" s="1103"/>
      <c r="J31" s="1103"/>
      <c r="K31" s="1103"/>
      <c r="L31" s="1103"/>
      <c r="M31" s="1104"/>
      <c r="N31" s="525"/>
    </row>
    <row r="32" spans="1:15" s="852" customFormat="1" ht="30" customHeight="1">
      <c r="A32" s="849"/>
      <c r="B32" s="1639" t="s">
        <v>328</v>
      </c>
      <c r="C32" s="1640"/>
      <c r="D32" s="1640"/>
      <c r="E32" s="1640"/>
      <c r="F32" s="1640"/>
      <c r="G32" s="1640"/>
      <c r="H32" s="850" t="s">
        <v>329</v>
      </c>
      <c r="I32" s="1638"/>
      <c r="J32" s="1638"/>
      <c r="K32" s="850" t="s">
        <v>330</v>
      </c>
      <c r="L32" s="1039"/>
      <c r="M32" s="1040"/>
      <c r="N32" s="851"/>
      <c r="O32" s="851"/>
    </row>
    <row r="33" spans="1:15" s="852" customFormat="1" ht="30" customHeight="1" thickBot="1">
      <c r="A33" s="849"/>
      <c r="B33" s="1043" t="s">
        <v>331</v>
      </c>
      <c r="C33" s="1044"/>
      <c r="D33" s="1044"/>
      <c r="E33" s="1044"/>
      <c r="F33" s="1044"/>
      <c r="G33" s="1044"/>
      <c r="H33" s="853" t="s">
        <v>329</v>
      </c>
      <c r="I33" s="1045"/>
      <c r="J33" s="1045"/>
      <c r="K33" s="853" t="s">
        <v>330</v>
      </c>
      <c r="L33" s="1041"/>
      <c r="M33" s="1042"/>
      <c r="N33" s="851"/>
      <c r="O33" s="851"/>
    </row>
    <row r="34" spans="1:15" s="852" customFormat="1" ht="30" customHeight="1" thickBot="1">
      <c r="A34" s="849"/>
      <c r="B34" s="1046" t="s">
        <v>332</v>
      </c>
      <c r="C34" s="1047"/>
      <c r="D34" s="1047"/>
      <c r="E34" s="1047"/>
      <c r="F34" s="1037"/>
      <c r="G34" s="1037"/>
      <c r="H34" s="1037"/>
      <c r="I34" s="1037"/>
      <c r="J34" s="1037"/>
      <c r="K34" s="1037"/>
      <c r="L34" s="1037"/>
      <c r="M34" s="1038"/>
      <c r="N34" s="851"/>
      <c r="O34" s="851"/>
    </row>
    <row r="35" spans="1:14" ht="16.5" customHeight="1">
      <c r="A35" s="526"/>
      <c r="B35" s="813"/>
      <c r="C35" s="812"/>
      <c r="D35" s="812"/>
      <c r="E35" s="813"/>
      <c r="F35" s="812"/>
      <c r="G35" s="812"/>
      <c r="H35" s="812"/>
      <c r="I35" s="812"/>
      <c r="J35" s="812"/>
      <c r="K35" s="814"/>
      <c r="L35" s="814"/>
      <c r="M35" s="814"/>
      <c r="N35" s="525"/>
    </row>
    <row r="36" spans="2:13" s="525" customFormat="1" ht="17.25" customHeight="1">
      <c r="B36" s="851" t="s">
        <v>333</v>
      </c>
      <c r="J36" s="825"/>
      <c r="K36" s="819"/>
      <c r="L36" s="847"/>
      <c r="M36" s="847"/>
    </row>
    <row r="37" ht="12.75">
      <c r="B37" s="811" t="s">
        <v>334</v>
      </c>
    </row>
    <row r="38" ht="12.75">
      <c r="B38" s="811" t="s">
        <v>335</v>
      </c>
    </row>
    <row r="39" spans="1:8" ht="12.75">
      <c r="A39" s="854"/>
      <c r="B39" s="811" t="s">
        <v>336</v>
      </c>
      <c r="C39" s="855"/>
      <c r="D39" s="855"/>
      <c r="E39" s="854"/>
      <c r="F39" s="854"/>
      <c r="G39" s="854"/>
      <c r="H39" s="854"/>
    </row>
    <row r="40" spans="2:4" ht="12.75">
      <c r="B40" s="811" t="s">
        <v>337</v>
      </c>
      <c r="C40" s="856"/>
      <c r="D40" s="856"/>
    </row>
    <row r="41" ht="12.75">
      <c r="D41" s="810"/>
    </row>
    <row r="43" ht="12.75">
      <c r="D43" s="811"/>
    </row>
    <row r="44" ht="12.75">
      <c r="D44" s="811"/>
    </row>
    <row r="45" ht="13.5" thickBot="1">
      <c r="D45" s="811"/>
    </row>
    <row r="46" spans="4:7" ht="13.5" thickBot="1">
      <c r="D46" s="811"/>
      <c r="G46" s="857"/>
    </row>
  </sheetData>
  <sheetProtection/>
  <mergeCells count="91">
    <mergeCell ref="H16:J16"/>
    <mergeCell ref="K13:M13"/>
    <mergeCell ref="K15:M15"/>
    <mergeCell ref="K16:M16"/>
    <mergeCell ref="K17:M17"/>
    <mergeCell ref="D14:G14"/>
    <mergeCell ref="H13:J13"/>
    <mergeCell ref="H14:J14"/>
    <mergeCell ref="K14:M14"/>
    <mergeCell ref="K8:M8"/>
    <mergeCell ref="D16:G16"/>
    <mergeCell ref="K18:M18"/>
    <mergeCell ref="H18:J18"/>
    <mergeCell ref="H19:J19"/>
    <mergeCell ref="K10:M10"/>
    <mergeCell ref="B10:J10"/>
    <mergeCell ref="H17:J17"/>
    <mergeCell ref="D18:G18"/>
    <mergeCell ref="D17:G17"/>
    <mergeCell ref="B1:M1"/>
    <mergeCell ref="B2:M2"/>
    <mergeCell ref="D9:J9"/>
    <mergeCell ref="B8:J8"/>
    <mergeCell ref="D7:F7"/>
    <mergeCell ref="H7:J7"/>
    <mergeCell ref="H3:I3"/>
    <mergeCell ref="J3:M3"/>
    <mergeCell ref="D3:G3"/>
    <mergeCell ref="B3:C3"/>
    <mergeCell ref="B28:M31"/>
    <mergeCell ref="B23:J23"/>
    <mergeCell ref="B27:M27"/>
    <mergeCell ref="B25:C25"/>
    <mergeCell ref="I25:K25"/>
    <mergeCell ref="L25:M25"/>
    <mergeCell ref="D25:F25"/>
    <mergeCell ref="K7:M7"/>
    <mergeCell ref="L6:M6"/>
    <mergeCell ref="B4:C4"/>
    <mergeCell ref="B7:C7"/>
    <mergeCell ref="B5:C5"/>
    <mergeCell ref="D15:G15"/>
    <mergeCell ref="H4:I4"/>
    <mergeCell ref="J4:M4"/>
    <mergeCell ref="D4:G4"/>
    <mergeCell ref="K9:M9"/>
    <mergeCell ref="H20:J20"/>
    <mergeCell ref="B26:M26"/>
    <mergeCell ref="K23:M23"/>
    <mergeCell ref="K22:M22"/>
    <mergeCell ref="K21:M21"/>
    <mergeCell ref="B19:C19"/>
    <mergeCell ref="H21:J21"/>
    <mergeCell ref="K24:M24"/>
    <mergeCell ref="B24:J24"/>
    <mergeCell ref="K19:M19"/>
    <mergeCell ref="B22:J22"/>
    <mergeCell ref="D19:G19"/>
    <mergeCell ref="K20:M20"/>
    <mergeCell ref="B20:G20"/>
    <mergeCell ref="J5:M5"/>
    <mergeCell ref="H11:J11"/>
    <mergeCell ref="K11:M11"/>
    <mergeCell ref="D12:G12"/>
    <mergeCell ref="H12:J12"/>
    <mergeCell ref="K12:M12"/>
    <mergeCell ref="B21:G21"/>
    <mergeCell ref="B9:C9"/>
    <mergeCell ref="B18:C18"/>
    <mergeCell ref="H15:J15"/>
    <mergeCell ref="D5:G5"/>
    <mergeCell ref="H5:I5"/>
    <mergeCell ref="H6:J6"/>
    <mergeCell ref="D6:F6"/>
    <mergeCell ref="B15:C15"/>
    <mergeCell ref="B16:C16"/>
    <mergeCell ref="B17:C17"/>
    <mergeCell ref="B6:C6"/>
    <mergeCell ref="B13:C13"/>
    <mergeCell ref="B12:C12"/>
    <mergeCell ref="B14:C14"/>
    <mergeCell ref="B11:G11"/>
    <mergeCell ref="D13:G13"/>
    <mergeCell ref="F34:M34"/>
    <mergeCell ref="L32:M32"/>
    <mergeCell ref="L33:M33"/>
    <mergeCell ref="B33:G33"/>
    <mergeCell ref="I32:J32"/>
    <mergeCell ref="I33:J33"/>
    <mergeCell ref="B32:G32"/>
    <mergeCell ref="B34:E34"/>
  </mergeCells>
  <printOptions horizontalCentered="1" verticalCentered="1"/>
  <pageMargins left="0.39" right="0.25" top="0.3" bottom="0.34" header="0" footer="0"/>
  <pageSetup fitToHeight="1" fitToWidth="1" horizontalDpi="600" verticalDpi="600" orientation="portrait" scale="71" r:id="rId1"/>
</worksheet>
</file>

<file path=xl/worksheets/sheet13.xml><?xml version="1.0" encoding="utf-8"?>
<worksheet xmlns="http://schemas.openxmlformats.org/spreadsheetml/2006/main" xmlns:r="http://schemas.openxmlformats.org/officeDocument/2006/relationships">
  <sheetPr>
    <pageSetUpPr fitToPage="1"/>
  </sheetPr>
  <dimension ref="B1:AG48"/>
  <sheetViews>
    <sheetView zoomScalePageLayoutView="0" workbookViewId="0" topLeftCell="A1">
      <selection activeCell="Y53" sqref="Y53"/>
    </sheetView>
  </sheetViews>
  <sheetFormatPr defaultColWidth="9.125" defaultRowHeight="12.75"/>
  <cols>
    <col min="1" max="1" width="1.00390625" style="522" customWidth="1"/>
    <col min="2" max="2" width="4.50390625" style="522" customWidth="1"/>
    <col min="3" max="3" width="3.50390625" style="522" customWidth="1"/>
    <col min="4" max="4" width="9.875" style="522" customWidth="1"/>
    <col min="5" max="5" width="9.75390625" style="522" customWidth="1"/>
    <col min="6" max="6" width="11.50390625" style="522" customWidth="1"/>
    <col min="7" max="7" width="8.625" style="522" customWidth="1"/>
    <col min="8" max="8" width="3.375" style="522" customWidth="1"/>
    <col min="9" max="9" width="11.75390625" style="522" customWidth="1"/>
    <col min="10" max="10" width="2.50390625" style="522" customWidth="1"/>
    <col min="11" max="11" width="6.25390625" style="522" customWidth="1"/>
    <col min="12" max="12" width="5.00390625" style="522" customWidth="1"/>
    <col min="13" max="13" width="7.625" style="522" customWidth="1"/>
    <col min="14" max="14" width="0.5" style="522" hidden="1" customWidth="1"/>
    <col min="15" max="15" width="0.12890625" style="522" customWidth="1"/>
    <col min="16" max="16" width="5.50390625" style="522" customWidth="1"/>
    <col min="17" max="17" width="2.00390625" style="522" customWidth="1"/>
    <col min="18" max="18" width="8.00390625" style="522" customWidth="1"/>
    <col min="19" max="19" width="1.00390625" style="522" customWidth="1"/>
    <col min="20" max="20" width="2.50390625" style="522" customWidth="1"/>
    <col min="21" max="21" width="4.875" style="522" customWidth="1"/>
    <col min="22" max="22" width="1.625" style="522" customWidth="1"/>
    <col min="23" max="23" width="1.00390625" style="522" hidden="1" customWidth="1"/>
    <col min="24" max="25" width="6.75390625" style="522" customWidth="1"/>
    <col min="26" max="26" width="2.625" style="522" customWidth="1"/>
    <col min="27" max="27" width="5.00390625" style="522" customWidth="1"/>
    <col min="28" max="28" width="5.875" style="522" customWidth="1"/>
    <col min="29" max="29" width="0.74609375" style="522" customWidth="1"/>
    <col min="30" max="30" width="7.25390625" style="522" customWidth="1"/>
    <col min="31" max="31" width="10.50390625" style="522" customWidth="1"/>
    <col min="32" max="16384" width="9.125" style="522" customWidth="1"/>
  </cols>
  <sheetData>
    <row r="1" spans="2:31" ht="176.25" customHeight="1" thickBot="1">
      <c r="B1" s="1386" t="s">
        <v>402</v>
      </c>
      <c r="C1" s="1387"/>
      <c r="D1" s="1387"/>
      <c r="E1" s="1387"/>
      <c r="F1" s="1387"/>
      <c r="G1" s="1387"/>
      <c r="H1" s="1387"/>
      <c r="I1" s="1387"/>
      <c r="J1" s="1387"/>
      <c r="K1" s="1387"/>
      <c r="L1" s="1387"/>
      <c r="M1" s="1387"/>
      <c r="N1" s="1387"/>
      <c r="O1" s="1387"/>
      <c r="P1" s="1387"/>
      <c r="Q1" s="1387"/>
      <c r="R1" s="1387"/>
      <c r="S1" s="1387"/>
      <c r="T1" s="1387"/>
      <c r="U1" s="1387"/>
      <c r="V1" s="1387"/>
      <c r="W1" s="1387"/>
      <c r="X1" s="1387"/>
      <c r="Y1" s="1387"/>
      <c r="Z1" s="1387"/>
      <c r="AA1" s="1387"/>
      <c r="AB1" s="1387"/>
      <c r="AC1" s="1387"/>
      <c r="AD1" s="1388"/>
      <c r="AE1" s="525"/>
    </row>
    <row r="2" spans="2:31" ht="30.75" customHeight="1" thickBot="1">
      <c r="B2" s="1382" t="s">
        <v>405</v>
      </c>
      <c r="C2" s="1383"/>
      <c r="D2" s="1383"/>
      <c r="E2" s="1383"/>
      <c r="F2" s="1383"/>
      <c r="G2" s="1383"/>
      <c r="H2" s="1383"/>
      <c r="I2" s="1383"/>
      <c r="J2" s="1383"/>
      <c r="K2" s="1383"/>
      <c r="L2" s="1383"/>
      <c r="M2" s="1383"/>
      <c r="N2" s="1384"/>
      <c r="O2" s="1384"/>
      <c r="P2" s="1384"/>
      <c r="Q2" s="1384"/>
      <c r="R2" s="1384"/>
      <c r="S2" s="1384"/>
      <c r="T2" s="1384"/>
      <c r="U2" s="1384"/>
      <c r="V2" s="1384"/>
      <c r="W2" s="1384"/>
      <c r="X2" s="1384"/>
      <c r="Y2" s="1384"/>
      <c r="Z2" s="1384"/>
      <c r="AA2" s="1384"/>
      <c r="AB2" s="1384"/>
      <c r="AC2" s="1384"/>
      <c r="AD2" s="1385"/>
      <c r="AE2" s="525"/>
    </row>
    <row r="3" spans="2:31" ht="30" customHeight="1">
      <c r="B3" s="1289" t="s">
        <v>296</v>
      </c>
      <c r="C3" s="1290"/>
      <c r="D3" s="1290"/>
      <c r="E3" s="1290"/>
      <c r="F3" s="1391"/>
      <c r="G3" s="1392"/>
      <c r="H3" s="1392"/>
      <c r="I3" s="1392"/>
      <c r="J3" s="1392"/>
      <c r="K3" s="1392"/>
      <c r="L3" s="1393"/>
      <c r="M3" s="1394" t="s">
        <v>297</v>
      </c>
      <c r="N3" s="1394"/>
      <c r="O3" s="1394"/>
      <c r="P3" s="1394"/>
      <c r="Q3" s="1394"/>
      <c r="R3" s="1394"/>
      <c r="S3" s="1394"/>
      <c r="T3" s="1394"/>
      <c r="U3" s="1257"/>
      <c r="V3" s="1258"/>
      <c r="W3" s="1258"/>
      <c r="X3" s="1258"/>
      <c r="Y3" s="1258"/>
      <c r="Z3" s="1258"/>
      <c r="AA3" s="1258"/>
      <c r="AB3" s="1258"/>
      <c r="AC3" s="1258"/>
      <c r="AD3" s="1259"/>
      <c r="AE3" s="525"/>
    </row>
    <row r="4" spans="2:31" ht="30" customHeight="1">
      <c r="B4" s="1291" t="s">
        <v>298</v>
      </c>
      <c r="C4" s="1292"/>
      <c r="D4" s="1292"/>
      <c r="E4" s="1293"/>
      <c r="F4" s="1247"/>
      <c r="G4" s="1240"/>
      <c r="H4" s="1240"/>
      <c r="I4" s="1240"/>
      <c r="J4" s="1240"/>
      <c r="K4" s="1240"/>
      <c r="L4" s="1248"/>
      <c r="M4" s="1236" t="s">
        <v>299</v>
      </c>
      <c r="N4" s="1237"/>
      <c r="O4" s="1237"/>
      <c r="P4" s="1237"/>
      <c r="Q4" s="1237"/>
      <c r="R4" s="1237"/>
      <c r="S4" s="1237"/>
      <c r="T4" s="1238"/>
      <c r="U4" s="1239"/>
      <c r="V4" s="1240"/>
      <c r="W4" s="1240"/>
      <c r="X4" s="1240"/>
      <c r="Y4" s="1240"/>
      <c r="Z4" s="1240"/>
      <c r="AA4" s="1240"/>
      <c r="AB4" s="1240"/>
      <c r="AC4" s="1240"/>
      <c r="AD4" s="1241"/>
      <c r="AE4" s="525"/>
    </row>
    <row r="5" spans="2:31" ht="30" customHeight="1" thickBot="1">
      <c r="B5" s="1389" t="s">
        <v>341</v>
      </c>
      <c r="C5" s="1185"/>
      <c r="D5" s="1185"/>
      <c r="E5" s="1185"/>
      <c r="F5" s="1242"/>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4"/>
      <c r="AE5" s="525"/>
    </row>
    <row r="6" spans="2:30" s="527" customFormat="1" ht="30" customHeight="1">
      <c r="B6" s="1363" t="s">
        <v>342</v>
      </c>
      <c r="C6" s="1364"/>
      <c r="D6" s="1249" t="s">
        <v>343</v>
      </c>
      <c r="E6" s="1296"/>
      <c r="F6" s="1249" t="s">
        <v>344</v>
      </c>
      <c r="G6" s="1296"/>
      <c r="H6" s="1297"/>
      <c r="I6" s="1298"/>
      <c r="J6" s="859" t="s">
        <v>207</v>
      </c>
      <c r="K6" s="860"/>
      <c r="L6" s="1245" t="s">
        <v>345</v>
      </c>
      <c r="M6" s="1246"/>
      <c r="N6" s="1246"/>
      <c r="O6" s="1249" t="s">
        <v>346</v>
      </c>
      <c r="P6" s="1249"/>
      <c r="Q6" s="1249"/>
      <c r="R6" s="1249"/>
      <c r="S6" s="1294" t="s">
        <v>347</v>
      </c>
      <c r="T6" s="1295"/>
      <c r="U6" s="1295"/>
      <c r="V6" s="1295"/>
      <c r="W6" s="861"/>
      <c r="X6" s="1245" t="s">
        <v>348</v>
      </c>
      <c r="Y6" s="1246"/>
      <c r="Z6" s="1246"/>
      <c r="AA6" s="1249" t="s">
        <v>346</v>
      </c>
      <c r="AB6" s="1249"/>
      <c r="AC6" s="1249"/>
      <c r="AD6" s="1250"/>
    </row>
    <row r="7" spans="2:30" s="527" customFormat="1" ht="30" customHeight="1">
      <c r="B7" s="1365"/>
      <c r="C7" s="1366"/>
      <c r="D7" s="862" t="s">
        <v>220</v>
      </c>
      <c r="E7" s="862" t="s">
        <v>103</v>
      </c>
      <c r="F7" s="862" t="s">
        <v>220</v>
      </c>
      <c r="G7" s="1256" t="s">
        <v>103</v>
      </c>
      <c r="H7" s="1390"/>
      <c r="I7" s="1298"/>
      <c r="J7" s="863">
        <v>1</v>
      </c>
      <c r="K7" s="944"/>
      <c r="L7" s="1251"/>
      <c r="M7" s="1251"/>
      <c r="N7" s="1251"/>
      <c r="O7" s="1252"/>
      <c r="P7" s="1253"/>
      <c r="Q7" s="1253"/>
      <c r="R7" s="1253"/>
      <c r="S7" s="1256">
        <v>5</v>
      </c>
      <c r="T7" s="1256"/>
      <c r="U7" s="1260"/>
      <c r="V7" s="1261"/>
      <c r="W7" s="1251"/>
      <c r="X7" s="1251"/>
      <c r="Y7" s="1251"/>
      <c r="Z7" s="1251"/>
      <c r="AA7" s="1252"/>
      <c r="AB7" s="1253"/>
      <c r="AC7" s="1253"/>
      <c r="AD7" s="1254"/>
    </row>
    <row r="8" spans="2:30" s="527" customFormat="1" ht="30" customHeight="1">
      <c r="B8" s="1299" t="s">
        <v>208</v>
      </c>
      <c r="C8" s="1300"/>
      <c r="D8" s="940"/>
      <c r="E8" s="940"/>
      <c r="F8" s="940"/>
      <c r="G8" s="1234"/>
      <c r="H8" s="1235"/>
      <c r="I8" s="1298"/>
      <c r="J8" s="863">
        <v>2</v>
      </c>
      <c r="K8" s="944"/>
      <c r="L8" s="1251"/>
      <c r="M8" s="1251"/>
      <c r="N8" s="1251"/>
      <c r="O8" s="1252"/>
      <c r="P8" s="1253"/>
      <c r="Q8" s="1253"/>
      <c r="R8" s="1253"/>
      <c r="S8" s="1256">
        <v>6</v>
      </c>
      <c r="T8" s="1256"/>
      <c r="U8" s="1260"/>
      <c r="V8" s="1261"/>
      <c r="W8" s="1251"/>
      <c r="X8" s="1251"/>
      <c r="Y8" s="1251"/>
      <c r="Z8" s="1251"/>
      <c r="AA8" s="1252"/>
      <c r="AB8" s="1253"/>
      <c r="AC8" s="1253"/>
      <c r="AD8" s="1254"/>
    </row>
    <row r="9" spans="2:30" s="527" customFormat="1" ht="30" customHeight="1">
      <c r="B9" s="1299" t="s">
        <v>221</v>
      </c>
      <c r="C9" s="1324"/>
      <c r="D9" s="941"/>
      <c r="E9" s="941"/>
      <c r="F9" s="942"/>
      <c r="G9" s="1325"/>
      <c r="H9" s="1326"/>
      <c r="I9" s="1298"/>
      <c r="J9" s="863">
        <v>3</v>
      </c>
      <c r="K9" s="944"/>
      <c r="L9" s="1251"/>
      <c r="M9" s="1251"/>
      <c r="N9" s="1251"/>
      <c r="O9" s="1252"/>
      <c r="P9" s="1253"/>
      <c r="Q9" s="1253"/>
      <c r="R9" s="1253"/>
      <c r="S9" s="1256">
        <v>7</v>
      </c>
      <c r="T9" s="1256"/>
      <c r="U9" s="1260"/>
      <c r="V9" s="1261"/>
      <c r="W9" s="1251"/>
      <c r="X9" s="1251"/>
      <c r="Y9" s="1251"/>
      <c r="Z9" s="1251"/>
      <c r="AA9" s="1252"/>
      <c r="AB9" s="1253"/>
      <c r="AC9" s="1253"/>
      <c r="AD9" s="1254"/>
    </row>
    <row r="10" spans="2:30" s="527" customFormat="1" ht="30" customHeight="1" thickBot="1">
      <c r="B10" s="1367" t="s">
        <v>81</v>
      </c>
      <c r="C10" s="1368"/>
      <c r="D10" s="943"/>
      <c r="E10" s="943"/>
      <c r="F10" s="943"/>
      <c r="G10" s="1369"/>
      <c r="H10" s="1370"/>
      <c r="I10" s="1298"/>
      <c r="J10" s="864">
        <v>4</v>
      </c>
      <c r="K10" s="945"/>
      <c r="L10" s="1255"/>
      <c r="M10" s="1255"/>
      <c r="N10" s="1255"/>
      <c r="O10" s="1373"/>
      <c r="P10" s="1374"/>
      <c r="Q10" s="1374"/>
      <c r="R10" s="1374"/>
      <c r="S10" s="1439">
        <v>8</v>
      </c>
      <c r="T10" s="1439"/>
      <c r="U10" s="1262"/>
      <c r="V10" s="1263"/>
      <c r="W10" s="1255"/>
      <c r="X10" s="1255"/>
      <c r="Y10" s="1255"/>
      <c r="Z10" s="1255"/>
      <c r="AA10" s="1373"/>
      <c r="AB10" s="1374"/>
      <c r="AC10" s="1374"/>
      <c r="AD10" s="1440"/>
    </row>
    <row r="11" spans="2:30" s="527" customFormat="1" ht="9" customHeight="1" thickBot="1">
      <c r="B11" s="1345"/>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80"/>
    </row>
    <row r="12" spans="2:30" s="866" customFormat="1" ht="21" customHeight="1">
      <c r="B12" s="1371" t="s">
        <v>349</v>
      </c>
      <c r="C12" s="1372"/>
      <c r="D12" s="1372"/>
      <c r="E12" s="1372"/>
      <c r="F12" s="1372"/>
      <c r="G12" s="1327" t="s">
        <v>350</v>
      </c>
      <c r="H12" s="1376"/>
      <c r="I12" s="1376"/>
      <c r="J12" s="1376"/>
      <c r="K12" s="1376"/>
      <c r="L12" s="1306"/>
      <c r="M12" s="1327" t="s">
        <v>351</v>
      </c>
      <c r="N12" s="1328"/>
      <c r="O12" s="1328"/>
      <c r="P12" s="1328"/>
      <c r="Q12" s="1328"/>
      <c r="R12" s="1328"/>
      <c r="S12" s="1328"/>
      <c r="T12" s="1306"/>
      <c r="U12" s="1327" t="s">
        <v>352</v>
      </c>
      <c r="V12" s="1328"/>
      <c r="W12" s="1328"/>
      <c r="X12" s="1328"/>
      <c r="Y12" s="1328"/>
      <c r="Z12" s="1328"/>
      <c r="AA12" s="1328"/>
      <c r="AB12" s="1328"/>
      <c r="AC12" s="1328"/>
      <c r="AD12" s="1377"/>
    </row>
    <row r="13" spans="2:30" ht="21" customHeight="1">
      <c r="B13" s="1334"/>
      <c r="C13" s="1335"/>
      <c r="D13" s="1335"/>
      <c r="E13" s="1335"/>
      <c r="F13" s="1336"/>
      <c r="G13" s="1433" t="s">
        <v>308</v>
      </c>
      <c r="H13" s="1434"/>
      <c r="I13" s="1423"/>
      <c r="J13" s="1423"/>
      <c r="K13" s="1424"/>
      <c r="L13" s="1307"/>
      <c r="M13" s="1435" t="s">
        <v>308</v>
      </c>
      <c r="N13" s="1436"/>
      <c r="O13" s="1436"/>
      <c r="P13" s="1436"/>
      <c r="Q13" s="1436"/>
      <c r="R13" s="1436"/>
      <c r="S13" s="1437"/>
      <c r="T13" s="1307"/>
      <c r="U13" s="1274" t="s">
        <v>353</v>
      </c>
      <c r="V13" s="1275"/>
      <c r="W13" s="1275"/>
      <c r="X13" s="1275"/>
      <c r="Y13" s="1435" t="s">
        <v>354</v>
      </c>
      <c r="Z13" s="1423"/>
      <c r="AA13" s="1423"/>
      <c r="AB13" s="1423"/>
      <c r="AC13" s="1423"/>
      <c r="AD13" s="1438"/>
    </row>
    <row r="14" spans="2:30" ht="30" customHeight="1" thickBot="1">
      <c r="B14" s="1337"/>
      <c r="C14" s="1338"/>
      <c r="D14" s="1338"/>
      <c r="E14" s="1338"/>
      <c r="F14" s="1339"/>
      <c r="G14" s="1315"/>
      <c r="H14" s="1316"/>
      <c r="I14" s="1316"/>
      <c r="J14" s="1316"/>
      <c r="K14" s="1317"/>
      <c r="L14" s="1308"/>
      <c r="M14" s="1312"/>
      <c r="N14" s="1313"/>
      <c r="O14" s="1313"/>
      <c r="P14" s="1313"/>
      <c r="Q14" s="1313"/>
      <c r="R14" s="1313"/>
      <c r="S14" s="1314"/>
      <c r="T14" s="1308"/>
      <c r="U14" s="1276"/>
      <c r="V14" s="1276"/>
      <c r="W14" s="1276"/>
      <c r="X14" s="1276"/>
      <c r="Y14" s="1346"/>
      <c r="Z14" s="1347"/>
      <c r="AA14" s="1347"/>
      <c r="AB14" s="1347"/>
      <c r="AC14" s="1347"/>
      <c r="AD14" s="1348"/>
    </row>
    <row r="15" spans="2:30" ht="6.75" customHeight="1" thickBot="1">
      <c r="B15" s="1375"/>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80"/>
    </row>
    <row r="16" spans="2:30" ht="38.25" customHeight="1">
      <c r="B16" s="1216" t="s">
        <v>225</v>
      </c>
      <c r="C16" s="1349" t="s">
        <v>355</v>
      </c>
      <c r="D16" s="1350"/>
      <c r="E16" s="1350"/>
      <c r="F16" s="1350"/>
      <c r="G16" s="1350"/>
      <c r="H16" s="1350"/>
      <c r="I16" s="1351"/>
      <c r="J16" s="1428"/>
      <c r="K16" s="1426" t="s">
        <v>356</v>
      </c>
      <c r="L16" s="1426"/>
      <c r="M16" s="1426"/>
      <c r="N16" s="1426"/>
      <c r="O16" s="1426"/>
      <c r="P16" s="1426"/>
      <c r="Q16" s="1426"/>
      <c r="R16" s="1426"/>
      <c r="S16" s="1427"/>
      <c r="T16" s="1356"/>
      <c r="U16" s="1419" t="s">
        <v>377</v>
      </c>
      <c r="V16" s="1420"/>
      <c r="W16" s="1420"/>
      <c r="X16" s="1420"/>
      <c r="Y16" s="1420"/>
      <c r="Z16" s="1420"/>
      <c r="AA16" s="1420"/>
      <c r="AB16" s="1420"/>
      <c r="AC16" s="1420"/>
      <c r="AD16" s="1421"/>
    </row>
    <row r="17" spans="2:30" ht="21" customHeight="1">
      <c r="B17" s="1425"/>
      <c r="C17" s="1352"/>
      <c r="D17" s="1279"/>
      <c r="E17" s="1279"/>
      <c r="F17" s="1279"/>
      <c r="G17" s="1279"/>
      <c r="H17" s="1279"/>
      <c r="I17" s="1353"/>
      <c r="J17" s="1429"/>
      <c r="K17" s="1422" t="s">
        <v>308</v>
      </c>
      <c r="L17" s="1423"/>
      <c r="M17" s="1423"/>
      <c r="N17" s="1423"/>
      <c r="O17" s="1423"/>
      <c r="P17" s="1423"/>
      <c r="Q17" s="1423"/>
      <c r="R17" s="1423"/>
      <c r="S17" s="1424"/>
      <c r="T17" s="1357"/>
      <c r="U17" s="1435" t="s">
        <v>308</v>
      </c>
      <c r="V17" s="1423"/>
      <c r="W17" s="1423"/>
      <c r="X17" s="1423"/>
      <c r="Y17" s="1441"/>
      <c r="Z17" s="1441"/>
      <c r="AA17" s="1441"/>
      <c r="AB17" s="1441"/>
      <c r="AC17" s="1441"/>
      <c r="AD17" s="1442"/>
    </row>
    <row r="18" spans="2:30" ht="30" customHeight="1">
      <c r="B18" s="846">
        <v>1</v>
      </c>
      <c r="C18" s="1354"/>
      <c r="D18" s="1355"/>
      <c r="E18" s="1355"/>
      <c r="F18" s="1355"/>
      <c r="G18" s="1355"/>
      <c r="H18" s="1355"/>
      <c r="I18" s="1355"/>
      <c r="J18" s="1353"/>
      <c r="K18" s="1286"/>
      <c r="L18" s="1287"/>
      <c r="M18" s="1287"/>
      <c r="N18" s="1287"/>
      <c r="O18" s="1287"/>
      <c r="P18" s="1287"/>
      <c r="Q18" s="1287"/>
      <c r="R18" s="1287"/>
      <c r="S18" s="1288"/>
      <c r="T18" s="1357"/>
      <c r="U18" s="1331"/>
      <c r="V18" s="1332"/>
      <c r="W18" s="1332"/>
      <c r="X18" s="1332"/>
      <c r="Y18" s="1332"/>
      <c r="Z18" s="1332"/>
      <c r="AA18" s="1332"/>
      <c r="AB18" s="1332"/>
      <c r="AC18" s="1332"/>
      <c r="AD18" s="1333"/>
    </row>
    <row r="19" spans="2:33" ht="30" customHeight="1">
      <c r="B19" s="846">
        <v>2</v>
      </c>
      <c r="C19" s="1354"/>
      <c r="D19" s="1355"/>
      <c r="E19" s="1355"/>
      <c r="F19" s="1355"/>
      <c r="G19" s="1355"/>
      <c r="H19" s="1355"/>
      <c r="I19" s="1355"/>
      <c r="J19" s="1353"/>
      <c r="K19" s="1286"/>
      <c r="L19" s="1287"/>
      <c r="M19" s="1287"/>
      <c r="N19" s="1287"/>
      <c r="O19" s="1287"/>
      <c r="P19" s="1287"/>
      <c r="Q19" s="1287"/>
      <c r="R19" s="1287"/>
      <c r="S19" s="1288"/>
      <c r="T19" s="1357"/>
      <c r="U19" s="1331"/>
      <c r="V19" s="1332"/>
      <c r="W19" s="1332"/>
      <c r="X19" s="1332"/>
      <c r="Y19" s="1332"/>
      <c r="Z19" s="1332"/>
      <c r="AA19" s="1332"/>
      <c r="AB19" s="1332"/>
      <c r="AC19" s="1332"/>
      <c r="AD19" s="1333"/>
      <c r="AG19" s="867" t="s">
        <v>77</v>
      </c>
    </row>
    <row r="20" spans="2:30" ht="30" customHeight="1">
      <c r="B20" s="846">
        <v>3</v>
      </c>
      <c r="C20" s="1354"/>
      <c r="D20" s="1355"/>
      <c r="E20" s="1355"/>
      <c r="F20" s="1355"/>
      <c r="G20" s="1355"/>
      <c r="H20" s="1355"/>
      <c r="I20" s="1355"/>
      <c r="J20" s="1353"/>
      <c r="K20" s="1286"/>
      <c r="L20" s="1287"/>
      <c r="M20" s="1287"/>
      <c r="N20" s="1287"/>
      <c r="O20" s="1287"/>
      <c r="P20" s="1287"/>
      <c r="Q20" s="1287"/>
      <c r="R20" s="1287"/>
      <c r="S20" s="1288"/>
      <c r="T20" s="1357"/>
      <c r="U20" s="1331"/>
      <c r="V20" s="1332"/>
      <c r="W20" s="1332"/>
      <c r="X20" s="1332"/>
      <c r="Y20" s="1332"/>
      <c r="Z20" s="1332"/>
      <c r="AA20" s="1332"/>
      <c r="AB20" s="1332"/>
      <c r="AC20" s="1332"/>
      <c r="AD20" s="1333"/>
    </row>
    <row r="21" spans="2:30" ht="30" customHeight="1">
      <c r="B21" s="846">
        <v>4</v>
      </c>
      <c r="C21" s="1354"/>
      <c r="D21" s="1355"/>
      <c r="E21" s="1355"/>
      <c r="F21" s="1355"/>
      <c r="G21" s="1355"/>
      <c r="H21" s="1355"/>
      <c r="I21" s="1355"/>
      <c r="J21" s="1353"/>
      <c r="K21" s="1286"/>
      <c r="L21" s="1287"/>
      <c r="M21" s="1287"/>
      <c r="N21" s="1287"/>
      <c r="O21" s="1287"/>
      <c r="P21" s="1287"/>
      <c r="Q21" s="1287"/>
      <c r="R21" s="1287"/>
      <c r="S21" s="1288"/>
      <c r="T21" s="1357"/>
      <c r="U21" s="1331"/>
      <c r="V21" s="1332"/>
      <c r="W21" s="1332"/>
      <c r="X21" s="1332"/>
      <c r="Y21" s="1332"/>
      <c r="Z21" s="1332"/>
      <c r="AA21" s="1332"/>
      <c r="AB21" s="1332"/>
      <c r="AC21" s="1332"/>
      <c r="AD21" s="1333"/>
    </row>
    <row r="22" spans="2:32" ht="30" customHeight="1">
      <c r="B22" s="846">
        <v>5</v>
      </c>
      <c r="C22" s="1354"/>
      <c r="D22" s="1355"/>
      <c r="E22" s="1355"/>
      <c r="F22" s="1355"/>
      <c r="G22" s="1355"/>
      <c r="H22" s="1355"/>
      <c r="I22" s="1355"/>
      <c r="J22" s="1353"/>
      <c r="K22" s="1286"/>
      <c r="L22" s="1287"/>
      <c r="M22" s="1287"/>
      <c r="N22" s="1287"/>
      <c r="O22" s="1287"/>
      <c r="P22" s="1287"/>
      <c r="Q22" s="1287"/>
      <c r="R22" s="1287"/>
      <c r="S22" s="1288"/>
      <c r="T22" s="1357"/>
      <c r="U22" s="1331"/>
      <c r="V22" s="1332"/>
      <c r="W22" s="1332"/>
      <c r="X22" s="1332"/>
      <c r="Y22" s="1332"/>
      <c r="Z22" s="1332"/>
      <c r="AA22" s="1332"/>
      <c r="AB22" s="1332"/>
      <c r="AC22" s="1332"/>
      <c r="AD22" s="1333"/>
      <c r="AF22" s="867" t="s">
        <v>77</v>
      </c>
    </row>
    <row r="23" spans="2:30" ht="30" customHeight="1">
      <c r="B23" s="846">
        <v>6</v>
      </c>
      <c r="C23" s="1354"/>
      <c r="D23" s="1355"/>
      <c r="E23" s="1355"/>
      <c r="F23" s="1355"/>
      <c r="G23" s="1355"/>
      <c r="H23" s="1355"/>
      <c r="I23" s="1355"/>
      <c r="J23" s="1353"/>
      <c r="K23" s="1286"/>
      <c r="L23" s="1287"/>
      <c r="M23" s="1287"/>
      <c r="N23" s="1287"/>
      <c r="O23" s="1287"/>
      <c r="P23" s="1287"/>
      <c r="Q23" s="1287"/>
      <c r="R23" s="1287"/>
      <c r="S23" s="1288"/>
      <c r="T23" s="1357"/>
      <c r="U23" s="1331"/>
      <c r="V23" s="1332"/>
      <c r="W23" s="1332"/>
      <c r="X23" s="1332"/>
      <c r="Y23" s="1332"/>
      <c r="Z23" s="1332"/>
      <c r="AA23" s="1332"/>
      <c r="AB23" s="1332"/>
      <c r="AC23" s="1332"/>
      <c r="AD23" s="1333"/>
    </row>
    <row r="24" spans="2:30" ht="30" customHeight="1">
      <c r="B24" s="846">
        <v>7</v>
      </c>
      <c r="C24" s="1354"/>
      <c r="D24" s="1355"/>
      <c r="E24" s="1355"/>
      <c r="F24" s="1355"/>
      <c r="G24" s="1355"/>
      <c r="H24" s="1355"/>
      <c r="I24" s="1355"/>
      <c r="J24" s="1353"/>
      <c r="K24" s="1286"/>
      <c r="L24" s="1287"/>
      <c r="M24" s="1287"/>
      <c r="N24" s="1287"/>
      <c r="O24" s="1287"/>
      <c r="P24" s="1287"/>
      <c r="Q24" s="1287"/>
      <c r="R24" s="1287"/>
      <c r="S24" s="1288"/>
      <c r="T24" s="1357"/>
      <c r="U24" s="1331"/>
      <c r="V24" s="1332"/>
      <c r="W24" s="1332"/>
      <c r="X24" s="1332"/>
      <c r="Y24" s="1332"/>
      <c r="Z24" s="1332"/>
      <c r="AA24" s="1332"/>
      <c r="AB24" s="1332"/>
      <c r="AC24" s="1332"/>
      <c r="AD24" s="1333"/>
    </row>
    <row r="25" spans="2:30" ht="30" customHeight="1" thickBot="1">
      <c r="B25" s="868">
        <v>8</v>
      </c>
      <c r="C25" s="1354"/>
      <c r="D25" s="1355"/>
      <c r="E25" s="1355"/>
      <c r="F25" s="1355"/>
      <c r="G25" s="1355"/>
      <c r="H25" s="1355"/>
      <c r="I25" s="1355"/>
      <c r="J25" s="1430"/>
      <c r="K25" s="1286"/>
      <c r="L25" s="1287"/>
      <c r="M25" s="1287"/>
      <c r="N25" s="1287"/>
      <c r="O25" s="1287"/>
      <c r="P25" s="1287"/>
      <c r="Q25" s="1287"/>
      <c r="R25" s="1287"/>
      <c r="S25" s="1288"/>
      <c r="T25" s="1358"/>
      <c r="U25" s="1331"/>
      <c r="V25" s="1332"/>
      <c r="W25" s="1332"/>
      <c r="X25" s="1332"/>
      <c r="Y25" s="1332"/>
      <c r="Z25" s="1332"/>
      <c r="AA25" s="1431"/>
      <c r="AB25" s="1431"/>
      <c r="AC25" s="1431"/>
      <c r="AD25" s="1432"/>
    </row>
    <row r="26" spans="2:30" ht="30" customHeight="1" thickBot="1">
      <c r="B26" s="1321" t="s">
        <v>357</v>
      </c>
      <c r="C26" s="1322"/>
      <c r="D26" s="1322"/>
      <c r="E26" s="1322"/>
      <c r="F26" s="1322"/>
      <c r="G26" s="1322"/>
      <c r="H26" s="1322"/>
      <c r="I26" s="1322"/>
      <c r="J26" s="1323"/>
      <c r="K26" s="1283"/>
      <c r="L26" s="1284"/>
      <c r="M26" s="1284"/>
      <c r="N26" s="1284"/>
      <c r="O26" s="1284"/>
      <c r="P26" s="1284"/>
      <c r="Q26" s="1284"/>
      <c r="R26" s="1284"/>
      <c r="S26" s="1285"/>
      <c r="T26" s="951"/>
      <c r="U26" s="1342" t="s">
        <v>406</v>
      </c>
      <c r="V26" s="1343"/>
      <c r="W26" s="1343"/>
      <c r="X26" s="1343"/>
      <c r="Y26" s="1343"/>
      <c r="Z26" s="1344"/>
      <c r="AA26" s="1301"/>
      <c r="AB26" s="1302"/>
      <c r="AC26" s="1302"/>
      <c r="AD26" s="1303"/>
    </row>
    <row r="27" spans="2:30" ht="6" customHeight="1" thickBot="1">
      <c r="B27" s="1277"/>
      <c r="C27" s="1278"/>
      <c r="D27" s="1278"/>
      <c r="E27" s="1279"/>
      <c r="F27" s="1279"/>
      <c r="G27" s="1279"/>
      <c r="H27" s="1279"/>
      <c r="I27" s="1279"/>
      <c r="J27" s="1279"/>
      <c r="K27" s="1279"/>
      <c r="L27" s="1279"/>
      <c r="M27" s="1279"/>
      <c r="N27" s="1279"/>
      <c r="O27" s="1279"/>
      <c r="P27" s="1279"/>
      <c r="Q27" s="1279"/>
      <c r="R27" s="1279"/>
      <c r="S27" s="1279"/>
      <c r="T27" s="1279"/>
      <c r="U27" s="1279"/>
      <c r="V27" s="1279"/>
      <c r="W27" s="1279"/>
      <c r="X27" s="1279"/>
      <c r="Y27" s="1279"/>
      <c r="Z27" s="1279"/>
      <c r="AA27" s="1279"/>
      <c r="AB27" s="1279"/>
      <c r="AC27" s="1279"/>
      <c r="AD27" s="1280"/>
    </row>
    <row r="28" spans="2:30" s="854" customFormat="1" ht="21" customHeight="1" thickBot="1">
      <c r="B28" s="1340" t="s">
        <v>358</v>
      </c>
      <c r="C28" s="1341"/>
      <c r="D28" s="1341"/>
      <c r="E28" s="1341"/>
      <c r="F28" s="1341"/>
      <c r="G28" s="1341"/>
      <c r="H28" s="1341"/>
      <c r="I28" s="1341"/>
      <c r="J28" s="1341"/>
      <c r="K28" s="1341"/>
      <c r="L28" s="1341"/>
      <c r="M28" s="1341"/>
      <c r="N28" s="1341"/>
      <c r="O28" s="1341"/>
      <c r="P28" s="1341"/>
      <c r="Q28" s="1341"/>
      <c r="R28" s="1341"/>
      <c r="S28" s="1341"/>
      <c r="T28" s="1341"/>
      <c r="U28" s="1341"/>
      <c r="V28" s="1341"/>
      <c r="W28" s="1341"/>
      <c r="X28" s="1341"/>
      <c r="Y28" s="1341"/>
      <c r="Z28" s="1341"/>
      <c r="AA28" s="1341"/>
      <c r="AB28" s="1329" t="s">
        <v>105</v>
      </c>
      <c r="AC28" s="1330"/>
      <c r="AD28" s="869" t="s">
        <v>106</v>
      </c>
    </row>
    <row r="29" spans="2:30" s="854" customFormat="1" ht="24.75" customHeight="1">
      <c r="B29" s="1318" t="s">
        <v>359</v>
      </c>
      <c r="C29" s="1319"/>
      <c r="D29" s="1319"/>
      <c r="E29" s="1319"/>
      <c r="F29" s="1319"/>
      <c r="G29" s="1319"/>
      <c r="H29" s="1319"/>
      <c r="I29" s="1319"/>
      <c r="J29" s="1319"/>
      <c r="K29" s="1319"/>
      <c r="L29" s="1319"/>
      <c r="M29" s="1319"/>
      <c r="N29" s="1319"/>
      <c r="O29" s="1319"/>
      <c r="P29" s="1319"/>
      <c r="Q29" s="1319"/>
      <c r="R29" s="1319"/>
      <c r="S29" s="1319"/>
      <c r="T29" s="1319"/>
      <c r="U29" s="1319"/>
      <c r="V29" s="1319"/>
      <c r="W29" s="1319"/>
      <c r="X29" s="1319"/>
      <c r="Y29" s="1319"/>
      <c r="Z29" s="1319"/>
      <c r="AA29" s="1320"/>
      <c r="AB29" s="1359"/>
      <c r="AC29" s="1360"/>
      <c r="AD29" s="870"/>
    </row>
    <row r="30" spans="2:30" s="854" customFormat="1" ht="24.75" customHeight="1">
      <c r="B30" s="1309" t="s">
        <v>360</v>
      </c>
      <c r="C30" s="1310"/>
      <c r="D30" s="1310"/>
      <c r="E30" s="1310"/>
      <c r="F30" s="1310"/>
      <c r="G30" s="1310"/>
      <c r="H30" s="1310"/>
      <c r="I30" s="1310"/>
      <c r="J30" s="1310"/>
      <c r="K30" s="1310"/>
      <c r="L30" s="1310"/>
      <c r="M30" s="1310"/>
      <c r="N30" s="1310"/>
      <c r="O30" s="1310"/>
      <c r="P30" s="1310"/>
      <c r="Q30" s="1310"/>
      <c r="R30" s="1310"/>
      <c r="S30" s="1310"/>
      <c r="T30" s="1310"/>
      <c r="U30" s="1310"/>
      <c r="V30" s="1310"/>
      <c r="W30" s="1310"/>
      <c r="X30" s="1310"/>
      <c r="Y30" s="1310"/>
      <c r="Z30" s="1310"/>
      <c r="AA30" s="1311"/>
      <c r="AB30" s="1281"/>
      <c r="AC30" s="1282"/>
      <c r="AD30" s="871"/>
    </row>
    <row r="31" spans="2:30" s="854" customFormat="1" ht="24.75" customHeight="1">
      <c r="B31" s="1309" t="s">
        <v>361</v>
      </c>
      <c r="C31" s="1310"/>
      <c r="D31" s="1310"/>
      <c r="E31" s="1310"/>
      <c r="F31" s="1310"/>
      <c r="G31" s="1310"/>
      <c r="H31" s="1310"/>
      <c r="I31" s="1310"/>
      <c r="J31" s="1310"/>
      <c r="K31" s="1310"/>
      <c r="L31" s="1310"/>
      <c r="M31" s="1310"/>
      <c r="N31" s="1310"/>
      <c r="O31" s="1310"/>
      <c r="P31" s="1310"/>
      <c r="Q31" s="1310"/>
      <c r="R31" s="1310"/>
      <c r="S31" s="1310"/>
      <c r="T31" s="1310"/>
      <c r="U31" s="1310"/>
      <c r="V31" s="1310"/>
      <c r="W31" s="1310"/>
      <c r="X31" s="1310"/>
      <c r="Y31" s="1310"/>
      <c r="Z31" s="1310"/>
      <c r="AA31" s="1311"/>
      <c r="AB31" s="1361"/>
      <c r="AC31" s="1362"/>
      <c r="AD31" s="872"/>
    </row>
    <row r="32" spans="2:30" s="854" customFormat="1" ht="24.75" customHeight="1">
      <c r="B32" s="1309" t="s">
        <v>362</v>
      </c>
      <c r="C32" s="1310"/>
      <c r="D32" s="1310"/>
      <c r="E32" s="1310"/>
      <c r="F32" s="1310"/>
      <c r="G32" s="1310"/>
      <c r="H32" s="1310"/>
      <c r="I32" s="1310"/>
      <c r="J32" s="1310"/>
      <c r="K32" s="1310"/>
      <c r="L32" s="1310"/>
      <c r="M32" s="1310"/>
      <c r="N32" s="1310"/>
      <c r="O32" s="1310"/>
      <c r="P32" s="1310"/>
      <c r="Q32" s="1310"/>
      <c r="R32" s="1310"/>
      <c r="S32" s="1310"/>
      <c r="T32" s="1310"/>
      <c r="U32" s="1310"/>
      <c r="V32" s="1310"/>
      <c r="W32" s="1310"/>
      <c r="X32" s="1310"/>
      <c r="Y32" s="1310"/>
      <c r="Z32" s="1310"/>
      <c r="AA32" s="1311"/>
      <c r="AB32" s="1304"/>
      <c r="AC32" s="1305"/>
      <c r="AD32" s="873"/>
    </row>
    <row r="33" spans="2:30" s="854" customFormat="1" ht="24.75" customHeight="1">
      <c r="B33" s="1309" t="s">
        <v>363</v>
      </c>
      <c r="C33" s="1310"/>
      <c r="D33" s="1310"/>
      <c r="E33" s="1310"/>
      <c r="F33" s="1310"/>
      <c r="G33" s="1310"/>
      <c r="H33" s="1310"/>
      <c r="I33" s="1310"/>
      <c r="J33" s="1310"/>
      <c r="K33" s="1310"/>
      <c r="L33" s="1310"/>
      <c r="M33" s="1310"/>
      <c r="N33" s="1310"/>
      <c r="O33" s="1310"/>
      <c r="P33" s="1310"/>
      <c r="Q33" s="1310"/>
      <c r="R33" s="1310"/>
      <c r="S33" s="1310"/>
      <c r="T33" s="1310"/>
      <c r="U33" s="1310"/>
      <c r="V33" s="1310"/>
      <c r="W33" s="1310"/>
      <c r="X33" s="1310"/>
      <c r="Y33" s="1310"/>
      <c r="Z33" s="1310"/>
      <c r="AA33" s="1311"/>
      <c r="AB33" s="1304"/>
      <c r="AC33" s="1305"/>
      <c r="AD33" s="873"/>
    </row>
    <row r="34" spans="2:33" s="854" customFormat="1" ht="24.75" customHeight="1">
      <c r="B34" s="1309" t="s">
        <v>364</v>
      </c>
      <c r="C34" s="1310"/>
      <c r="D34" s="1310"/>
      <c r="E34" s="1310"/>
      <c r="F34" s="1310"/>
      <c r="G34" s="1310"/>
      <c r="H34" s="1310"/>
      <c r="I34" s="1310"/>
      <c r="J34" s="1310"/>
      <c r="K34" s="1310"/>
      <c r="L34" s="1310"/>
      <c r="M34" s="1310"/>
      <c r="N34" s="1310"/>
      <c r="O34" s="1310"/>
      <c r="P34" s="1310"/>
      <c r="Q34" s="1310"/>
      <c r="R34" s="1310"/>
      <c r="S34" s="1310"/>
      <c r="T34" s="1310"/>
      <c r="U34" s="1310"/>
      <c r="V34" s="1310"/>
      <c r="W34" s="1310"/>
      <c r="X34" s="1310"/>
      <c r="Y34" s="1310"/>
      <c r="Z34" s="1310"/>
      <c r="AA34" s="1311"/>
      <c r="AB34" s="1304"/>
      <c r="AC34" s="1305"/>
      <c r="AD34" s="873"/>
      <c r="AG34" s="874"/>
    </row>
    <row r="35" spans="2:30" s="854" customFormat="1" ht="24.75" customHeight="1">
      <c r="B35" s="1309" t="s">
        <v>365</v>
      </c>
      <c r="C35" s="1310"/>
      <c r="D35" s="1310"/>
      <c r="E35" s="1310"/>
      <c r="F35" s="1310"/>
      <c r="G35" s="1310"/>
      <c r="H35" s="1310"/>
      <c r="I35" s="1310"/>
      <c r="J35" s="1310"/>
      <c r="K35" s="1310"/>
      <c r="L35" s="1310"/>
      <c r="M35" s="1310"/>
      <c r="N35" s="1310"/>
      <c r="O35" s="1310"/>
      <c r="P35" s="1310"/>
      <c r="Q35" s="1310"/>
      <c r="R35" s="1310"/>
      <c r="S35" s="1310"/>
      <c r="T35" s="1310"/>
      <c r="U35" s="1310"/>
      <c r="V35" s="1310"/>
      <c r="W35" s="1310"/>
      <c r="X35" s="1310"/>
      <c r="Y35" s="1310"/>
      <c r="Z35" s="1310"/>
      <c r="AA35" s="1311"/>
      <c r="AB35" s="1304"/>
      <c r="AC35" s="1305"/>
      <c r="AD35" s="873"/>
    </row>
    <row r="36" spans="2:30" s="854" customFormat="1" ht="24.75" customHeight="1">
      <c r="B36" s="1309" t="s">
        <v>228</v>
      </c>
      <c r="C36" s="1310"/>
      <c r="D36" s="1310"/>
      <c r="E36" s="1310"/>
      <c r="F36" s="1310"/>
      <c r="G36" s="1310"/>
      <c r="H36" s="1310"/>
      <c r="I36" s="1310"/>
      <c r="J36" s="1310"/>
      <c r="K36" s="1310"/>
      <c r="L36" s="1310"/>
      <c r="M36" s="1310"/>
      <c r="N36" s="1310"/>
      <c r="O36" s="1310"/>
      <c r="P36" s="1310"/>
      <c r="Q36" s="1310"/>
      <c r="R36" s="1310"/>
      <c r="S36" s="1310"/>
      <c r="T36" s="1310"/>
      <c r="U36" s="1310"/>
      <c r="V36" s="1310"/>
      <c r="W36" s="1310"/>
      <c r="X36" s="1310"/>
      <c r="Y36" s="1310"/>
      <c r="Z36" s="1310"/>
      <c r="AA36" s="1311"/>
      <c r="AB36" s="1304"/>
      <c r="AC36" s="1305"/>
      <c r="AD36" s="873"/>
    </row>
    <row r="37" spans="2:30" s="854" customFormat="1" ht="24.75" customHeight="1">
      <c r="B37" s="1309" t="s">
        <v>366</v>
      </c>
      <c r="C37" s="1310"/>
      <c r="D37" s="1310"/>
      <c r="E37" s="1310"/>
      <c r="F37" s="1310"/>
      <c r="G37" s="1310"/>
      <c r="H37" s="1310"/>
      <c r="I37" s="1310"/>
      <c r="J37" s="1310"/>
      <c r="K37" s="1310"/>
      <c r="L37" s="1310"/>
      <c r="M37" s="1310"/>
      <c r="N37" s="1310"/>
      <c r="O37" s="1310"/>
      <c r="P37" s="1310"/>
      <c r="Q37" s="1310"/>
      <c r="R37" s="1310"/>
      <c r="S37" s="1310"/>
      <c r="T37" s="1310"/>
      <c r="U37" s="1310"/>
      <c r="V37" s="1310"/>
      <c r="W37" s="1310"/>
      <c r="X37" s="1310"/>
      <c r="Y37" s="1310"/>
      <c r="Z37" s="1310"/>
      <c r="AA37" s="1311"/>
      <c r="AB37" s="1304"/>
      <c r="AC37" s="1305"/>
      <c r="AD37" s="873"/>
    </row>
    <row r="38" spans="2:30" s="854" customFormat="1" ht="24.75" customHeight="1">
      <c r="B38" s="1309" t="s">
        <v>367</v>
      </c>
      <c r="C38" s="1310"/>
      <c r="D38" s="1310"/>
      <c r="E38" s="1310"/>
      <c r="F38" s="1310"/>
      <c r="G38" s="1310"/>
      <c r="H38" s="1310"/>
      <c r="I38" s="1310"/>
      <c r="J38" s="1310"/>
      <c r="K38" s="1310"/>
      <c r="L38" s="1310"/>
      <c r="M38" s="1310"/>
      <c r="N38" s="1310"/>
      <c r="O38" s="1310"/>
      <c r="P38" s="1310"/>
      <c r="Q38" s="1310"/>
      <c r="R38" s="1310"/>
      <c r="S38" s="1310"/>
      <c r="T38" s="1310"/>
      <c r="U38" s="1310"/>
      <c r="V38" s="1310"/>
      <c r="W38" s="1310"/>
      <c r="X38" s="1310"/>
      <c r="Y38" s="1310"/>
      <c r="Z38" s="1310"/>
      <c r="AA38" s="1311"/>
      <c r="AB38" s="1304"/>
      <c r="AC38" s="1305"/>
      <c r="AD38" s="873"/>
    </row>
    <row r="39" spans="2:30" s="854" customFormat="1" ht="24.75" customHeight="1">
      <c r="B39" s="1309" t="s">
        <v>368</v>
      </c>
      <c r="C39" s="1310"/>
      <c r="D39" s="1310"/>
      <c r="E39" s="1310"/>
      <c r="F39" s="1310"/>
      <c r="G39" s="1310"/>
      <c r="H39" s="1310"/>
      <c r="I39" s="1310"/>
      <c r="J39" s="1310"/>
      <c r="K39" s="1310"/>
      <c r="L39" s="1310"/>
      <c r="M39" s="1310"/>
      <c r="N39" s="1310"/>
      <c r="O39" s="1310"/>
      <c r="P39" s="1310"/>
      <c r="Q39" s="1310"/>
      <c r="R39" s="1310"/>
      <c r="S39" s="1310"/>
      <c r="T39" s="1310"/>
      <c r="U39" s="1310"/>
      <c r="V39" s="1310"/>
      <c r="W39" s="1310"/>
      <c r="X39" s="1310"/>
      <c r="Y39" s="1310"/>
      <c r="Z39" s="1310"/>
      <c r="AA39" s="1311"/>
      <c r="AB39" s="1304"/>
      <c r="AC39" s="1305"/>
      <c r="AD39" s="873"/>
    </row>
    <row r="40" spans="2:30" s="854" customFormat="1" ht="24.75" customHeight="1">
      <c r="B40" s="1309" t="s">
        <v>369</v>
      </c>
      <c r="C40" s="1310"/>
      <c r="D40" s="1310"/>
      <c r="E40" s="1310"/>
      <c r="F40" s="1310"/>
      <c r="G40" s="1310"/>
      <c r="H40" s="1310"/>
      <c r="I40" s="1310"/>
      <c r="J40" s="1310"/>
      <c r="K40" s="1310"/>
      <c r="L40" s="1310"/>
      <c r="M40" s="1310"/>
      <c r="N40" s="1310"/>
      <c r="O40" s="1310"/>
      <c r="P40" s="1310"/>
      <c r="Q40" s="1310"/>
      <c r="R40" s="1310"/>
      <c r="S40" s="1310"/>
      <c r="T40" s="1310"/>
      <c r="U40" s="1310"/>
      <c r="V40" s="1310"/>
      <c r="W40" s="1310"/>
      <c r="X40" s="1310"/>
      <c r="Y40" s="1310"/>
      <c r="Z40" s="1310"/>
      <c r="AA40" s="1311"/>
      <c r="AB40" s="1304"/>
      <c r="AC40" s="1305"/>
      <c r="AD40" s="873"/>
    </row>
    <row r="41" spans="2:31" s="854" customFormat="1" ht="24.75" customHeight="1" thickBot="1">
      <c r="B41" s="1402" t="s">
        <v>370</v>
      </c>
      <c r="C41" s="1403"/>
      <c r="D41" s="1403"/>
      <c r="E41" s="1403"/>
      <c r="F41" s="1403"/>
      <c r="G41" s="1403"/>
      <c r="H41" s="1403"/>
      <c r="I41" s="1403"/>
      <c r="J41" s="1403"/>
      <c r="K41" s="1403"/>
      <c r="L41" s="1403"/>
      <c r="M41" s="1403"/>
      <c r="N41" s="1403"/>
      <c r="O41" s="1403"/>
      <c r="P41" s="1403"/>
      <c r="Q41" s="1403"/>
      <c r="R41" s="1403"/>
      <c r="S41" s="1403"/>
      <c r="T41" s="1403"/>
      <c r="U41" s="1403"/>
      <c r="V41" s="1403"/>
      <c r="W41" s="1403"/>
      <c r="X41" s="1403"/>
      <c r="Y41" s="1403"/>
      <c r="Z41" s="1403"/>
      <c r="AA41" s="1404"/>
      <c r="AB41" s="1400"/>
      <c r="AC41" s="1401"/>
      <c r="AD41" s="875"/>
      <c r="AE41" s="876"/>
    </row>
    <row r="42" spans="2:30" ht="23.25" customHeight="1">
      <c r="B42" s="1289" t="s">
        <v>371</v>
      </c>
      <c r="C42" s="1411"/>
      <c r="D42" s="1411"/>
      <c r="E42" s="1411"/>
      <c r="F42" s="1411"/>
      <c r="G42" s="1411"/>
      <c r="H42" s="1411"/>
      <c r="I42" s="1411"/>
      <c r="J42" s="1411"/>
      <c r="K42" s="1411"/>
      <c r="L42" s="1411"/>
      <c r="M42" s="1411"/>
      <c r="N42" s="1411"/>
      <c r="O42" s="1411"/>
      <c r="P42" s="1411"/>
      <c r="Q42" s="1411"/>
      <c r="R42" s="1411"/>
      <c r="S42" s="1411"/>
      <c r="T42" s="1411"/>
      <c r="U42" s="1411"/>
      <c r="V42" s="1411"/>
      <c r="W42" s="1411"/>
      <c r="X42" s="1411"/>
      <c r="Y42" s="1411"/>
      <c r="Z42" s="1411"/>
      <c r="AA42" s="1411"/>
      <c r="AB42" s="1411"/>
      <c r="AC42" s="1411"/>
      <c r="AD42" s="1412"/>
    </row>
    <row r="43" spans="2:30" ht="31.5" customHeight="1">
      <c r="B43" s="1395" t="s">
        <v>372</v>
      </c>
      <c r="C43" s="1396"/>
      <c r="D43" s="1396"/>
      <c r="E43" s="1378"/>
      <c r="F43" s="1379"/>
      <c r="G43" s="1380"/>
      <c r="H43" s="1380"/>
      <c r="I43" s="1380"/>
      <c r="J43" s="1380"/>
      <c r="K43" s="1380"/>
      <c r="L43" s="1381"/>
      <c r="M43" s="1397" t="s">
        <v>373</v>
      </c>
      <c r="N43" s="1398"/>
      <c r="O43" s="1398"/>
      <c r="P43" s="1398"/>
      <c r="Q43" s="1398"/>
      <c r="R43" s="1396"/>
      <c r="S43" s="1378"/>
      <c r="T43" s="1380"/>
      <c r="U43" s="1380"/>
      <c r="V43" s="1380"/>
      <c r="W43" s="1380"/>
      <c r="X43" s="1380"/>
      <c r="Y43" s="1380"/>
      <c r="Z43" s="1380"/>
      <c r="AA43" s="1380"/>
      <c r="AB43" s="1380"/>
      <c r="AC43" s="1380"/>
      <c r="AD43" s="1399"/>
    </row>
    <row r="44" spans="2:30" ht="31.5" customHeight="1" thickBot="1">
      <c r="B44" s="1409" t="s">
        <v>374</v>
      </c>
      <c r="C44" s="1410"/>
      <c r="D44" s="1410"/>
      <c r="E44" s="1405"/>
      <c r="F44" s="1406"/>
      <c r="G44" s="1407"/>
      <c r="H44" s="1407"/>
      <c r="I44" s="1407"/>
      <c r="J44" s="1407"/>
      <c r="K44" s="1407"/>
      <c r="L44" s="1408"/>
      <c r="M44" s="1416" t="s">
        <v>373</v>
      </c>
      <c r="N44" s="1417"/>
      <c r="O44" s="1417"/>
      <c r="P44" s="1417"/>
      <c r="Q44" s="1417"/>
      <c r="R44" s="1418"/>
      <c r="S44" s="1413"/>
      <c r="T44" s="1414"/>
      <c r="U44" s="1414"/>
      <c r="V44" s="1414"/>
      <c r="W44" s="1414"/>
      <c r="X44" s="1414"/>
      <c r="Y44" s="1414"/>
      <c r="Z44" s="1414"/>
      <c r="AA44" s="1414"/>
      <c r="AB44" s="1414"/>
      <c r="AC44" s="1414"/>
      <c r="AD44" s="1415"/>
    </row>
    <row r="45" spans="2:30" ht="15" customHeight="1" thickBot="1">
      <c r="B45" s="1269" t="s">
        <v>375</v>
      </c>
      <c r="C45" s="1270"/>
      <c r="D45" s="1270"/>
      <c r="E45" s="1270"/>
      <c r="F45" s="1270"/>
      <c r="G45" s="1270"/>
      <c r="H45" s="1270"/>
      <c r="I45" s="1270"/>
      <c r="J45" s="1270"/>
      <c r="K45" s="1270"/>
      <c r="L45" s="1270"/>
      <c r="M45" s="1270"/>
      <c r="N45" s="1270"/>
      <c r="O45" s="1270"/>
      <c r="P45" s="1270"/>
      <c r="Q45" s="1270"/>
      <c r="R45" s="1270"/>
      <c r="S45" s="1270"/>
      <c r="T45" s="1270"/>
      <c r="U45" s="1270"/>
      <c r="V45" s="1270"/>
      <c r="W45" s="1270"/>
      <c r="X45" s="1270"/>
      <c r="Y45" s="1270"/>
      <c r="Z45" s="1270"/>
      <c r="AA45" s="1270"/>
      <c r="AB45" s="1270"/>
      <c r="AC45" s="1270"/>
      <c r="AD45" s="1271"/>
    </row>
    <row r="46" spans="2:30" ht="31.5" customHeight="1" thickBot="1">
      <c r="B46" s="1264" t="s">
        <v>332</v>
      </c>
      <c r="C46" s="1265"/>
      <c r="D46" s="1265"/>
      <c r="E46" s="1265"/>
      <c r="F46" s="1265"/>
      <c r="G46" s="1267"/>
      <c r="H46" s="1268"/>
      <c r="I46" s="1268"/>
      <c r="J46" s="1268"/>
      <c r="K46" s="1268"/>
      <c r="L46" s="1268"/>
      <c r="M46" s="1268"/>
      <c r="N46" s="1268"/>
      <c r="O46" s="1268"/>
      <c r="P46" s="1268"/>
      <c r="Q46" s="1268"/>
      <c r="R46" s="1268"/>
      <c r="S46" s="1266" t="s">
        <v>376</v>
      </c>
      <c r="T46" s="1266"/>
      <c r="U46" s="1266"/>
      <c r="V46" s="1266"/>
      <c r="W46" s="877"/>
      <c r="X46" s="1272"/>
      <c r="Y46" s="1272"/>
      <c r="Z46" s="1272"/>
      <c r="AA46" s="1272"/>
      <c r="AB46" s="1272"/>
      <c r="AC46" s="1272"/>
      <c r="AD46" s="1273"/>
    </row>
    <row r="48" ht="12.75">
      <c r="F48" s="867"/>
    </row>
  </sheetData>
  <sheetProtection/>
  <mergeCells count="147">
    <mergeCell ref="B1:AD1"/>
    <mergeCell ref="B2:AD2"/>
    <mergeCell ref="B3:E3"/>
    <mergeCell ref="F3:L3"/>
    <mergeCell ref="M3:T3"/>
    <mergeCell ref="U3:AD3"/>
    <mergeCell ref="B4:E4"/>
    <mergeCell ref="F4:L4"/>
    <mergeCell ref="M4:T4"/>
    <mergeCell ref="U4:AD4"/>
    <mergeCell ref="B5:E5"/>
    <mergeCell ref="F5:AD5"/>
    <mergeCell ref="B6:C7"/>
    <mergeCell ref="D6:E6"/>
    <mergeCell ref="F6:H6"/>
    <mergeCell ref="I6:I10"/>
    <mergeCell ref="L6:N6"/>
    <mergeCell ref="O6:R6"/>
    <mergeCell ref="B8:C8"/>
    <mergeCell ref="G8:H8"/>
    <mergeCell ref="O8:R8"/>
    <mergeCell ref="G7:H7"/>
    <mergeCell ref="S6:V6"/>
    <mergeCell ref="X6:Z6"/>
    <mergeCell ref="S8:T8"/>
    <mergeCell ref="U8:V8"/>
    <mergeCell ref="W8:Z8"/>
    <mergeCell ref="AA6:AD6"/>
    <mergeCell ref="AA8:AD8"/>
    <mergeCell ref="L7:N7"/>
    <mergeCell ref="O7:R7"/>
    <mergeCell ref="S7:T7"/>
    <mergeCell ref="U7:V7"/>
    <mergeCell ref="W7:Z7"/>
    <mergeCell ref="AA7:AD7"/>
    <mergeCell ref="B9:C9"/>
    <mergeCell ref="G9:H9"/>
    <mergeCell ref="L9:N9"/>
    <mergeCell ref="O9:R9"/>
    <mergeCell ref="S9:T9"/>
    <mergeCell ref="U9:V9"/>
    <mergeCell ref="W9:Z9"/>
    <mergeCell ref="AA9:AD9"/>
    <mergeCell ref="L8:N8"/>
    <mergeCell ref="B10:C10"/>
    <mergeCell ref="G10:H10"/>
    <mergeCell ref="L10:N10"/>
    <mergeCell ref="O10:R10"/>
    <mergeCell ref="S10:T10"/>
    <mergeCell ref="U10:V10"/>
    <mergeCell ref="W10:Z10"/>
    <mergeCell ref="AA10:AD10"/>
    <mergeCell ref="B11:AD11"/>
    <mergeCell ref="B12:F12"/>
    <mergeCell ref="G12:K12"/>
    <mergeCell ref="L12:L14"/>
    <mergeCell ref="M12:S12"/>
    <mergeCell ref="T12:T14"/>
    <mergeCell ref="U12:AD12"/>
    <mergeCell ref="B13:F14"/>
    <mergeCell ref="G13:K13"/>
    <mergeCell ref="M13:S13"/>
    <mergeCell ref="U13:X14"/>
    <mergeCell ref="Y13:AD13"/>
    <mergeCell ref="G14:K14"/>
    <mergeCell ref="M14:S14"/>
    <mergeCell ref="Y14:AD14"/>
    <mergeCell ref="B15:AD15"/>
    <mergeCell ref="B16:B17"/>
    <mergeCell ref="C16:I17"/>
    <mergeCell ref="J16:J25"/>
    <mergeCell ref="K16:S16"/>
    <mergeCell ref="T16:T25"/>
    <mergeCell ref="U16:AD16"/>
    <mergeCell ref="K17:S17"/>
    <mergeCell ref="U17:AD17"/>
    <mergeCell ref="C18:I18"/>
    <mergeCell ref="K18:S18"/>
    <mergeCell ref="U18:AD18"/>
    <mergeCell ref="C19:I19"/>
    <mergeCell ref="K19:S19"/>
    <mergeCell ref="U19:AD19"/>
    <mergeCell ref="C20:I20"/>
    <mergeCell ref="K20:S20"/>
    <mergeCell ref="U20:AD20"/>
    <mergeCell ref="C21:I21"/>
    <mergeCell ref="K21:S21"/>
    <mergeCell ref="U21:AD21"/>
    <mergeCell ref="C22:I22"/>
    <mergeCell ref="K22:S22"/>
    <mergeCell ref="U22:AD22"/>
    <mergeCell ref="C23:I23"/>
    <mergeCell ref="K23:S23"/>
    <mergeCell ref="U23:AD23"/>
    <mergeCell ref="C24:I24"/>
    <mergeCell ref="K24:S24"/>
    <mergeCell ref="U24:AD24"/>
    <mergeCell ref="C25:I25"/>
    <mergeCell ref="K25:S25"/>
    <mergeCell ref="U25:AD25"/>
    <mergeCell ref="B26:J26"/>
    <mergeCell ref="K26:S26"/>
    <mergeCell ref="U26:Z26"/>
    <mergeCell ref="AA26:AD26"/>
    <mergeCell ref="B27:AD27"/>
    <mergeCell ref="B28:AA28"/>
    <mergeCell ref="AB28:AC28"/>
    <mergeCell ref="B29:AA29"/>
    <mergeCell ref="AB29:AC29"/>
    <mergeCell ref="B30:AA30"/>
    <mergeCell ref="AB30:AC30"/>
    <mergeCell ref="B31:AA31"/>
    <mergeCell ref="AB31:AC31"/>
    <mergeCell ref="B32:AA32"/>
    <mergeCell ref="AB32:AC32"/>
    <mergeCell ref="B33:AA33"/>
    <mergeCell ref="AB33:AC33"/>
    <mergeCell ref="B34:AA34"/>
    <mergeCell ref="AB34:AC34"/>
    <mergeCell ref="B35:AA35"/>
    <mergeCell ref="AB35:AC35"/>
    <mergeCell ref="B36:AA36"/>
    <mergeCell ref="AB36:AC36"/>
    <mergeCell ref="B37:AA37"/>
    <mergeCell ref="AB37:AC37"/>
    <mergeCell ref="B38:AA38"/>
    <mergeCell ref="AB38:AC38"/>
    <mergeCell ref="B39:AA39"/>
    <mergeCell ref="AB39:AC39"/>
    <mergeCell ref="B40:AA40"/>
    <mergeCell ref="AB40:AC40"/>
    <mergeCell ref="B41:AA41"/>
    <mergeCell ref="AB41:AC41"/>
    <mergeCell ref="B42:AD42"/>
    <mergeCell ref="B43:D43"/>
    <mergeCell ref="E43:L43"/>
    <mergeCell ref="M43:R43"/>
    <mergeCell ref="S43:AD43"/>
    <mergeCell ref="B44:D44"/>
    <mergeCell ref="E44:L44"/>
    <mergeCell ref="M44:R44"/>
    <mergeCell ref="S44:AD44"/>
    <mergeCell ref="B45:AD45"/>
    <mergeCell ref="B46:F46"/>
    <mergeCell ref="G46:R46"/>
    <mergeCell ref="S46:V46"/>
    <mergeCell ref="X46:AD46"/>
  </mergeCells>
  <printOptions horizontalCentered="1" verticalCentered="1"/>
  <pageMargins left="0.32" right="0.21" top="0.34" bottom="0.34" header="0" footer="0"/>
  <pageSetup fitToHeight="1" fitToWidth="1" horizontalDpi="600" verticalDpi="600" orientation="portrait" scale="65" r:id="rId1"/>
</worksheet>
</file>

<file path=xl/worksheets/sheet14.xml><?xml version="1.0" encoding="utf-8"?>
<worksheet xmlns="http://schemas.openxmlformats.org/spreadsheetml/2006/main" xmlns:r="http://schemas.openxmlformats.org/officeDocument/2006/relationships">
  <sheetPr>
    <pageSetUpPr fitToPage="1"/>
  </sheetPr>
  <dimension ref="A1:AD71"/>
  <sheetViews>
    <sheetView zoomScalePageLayoutView="0" workbookViewId="0" topLeftCell="A1">
      <selection activeCell="AC3" sqref="AC3"/>
    </sheetView>
  </sheetViews>
  <sheetFormatPr defaultColWidth="8.00390625" defaultRowHeight="12.75"/>
  <cols>
    <col min="1" max="1" width="10.50390625" style="878" customWidth="1"/>
    <col min="2" max="2" width="11.875" style="878" customWidth="1"/>
    <col min="3" max="3" width="5.625" style="878" customWidth="1"/>
    <col min="4" max="4" width="6.375" style="878" customWidth="1"/>
    <col min="5" max="5" width="13.50390625" style="878" customWidth="1"/>
    <col min="6" max="6" width="1.4921875" style="878" customWidth="1"/>
    <col min="7" max="7" width="6.50390625" style="878" customWidth="1"/>
    <col min="8" max="8" width="2.25390625" style="878" customWidth="1"/>
    <col min="9" max="9" width="3.375" style="878" customWidth="1"/>
    <col min="10" max="10" width="4.625" style="878" customWidth="1"/>
    <col min="11" max="11" width="2.50390625" style="878" customWidth="1"/>
    <col min="12" max="12" width="5.125" style="878" customWidth="1"/>
    <col min="13" max="14" width="1.625" style="878" customWidth="1"/>
    <col min="15" max="15" width="5.75390625" style="878" customWidth="1"/>
    <col min="16" max="16" width="1.875" style="878" customWidth="1"/>
    <col min="17" max="17" width="5.75390625" style="878" customWidth="1"/>
    <col min="18" max="18" width="7.125" style="878" customWidth="1"/>
    <col min="19" max="19" width="0.6171875" style="878" customWidth="1"/>
    <col min="20" max="20" width="1.875" style="878" customWidth="1"/>
    <col min="21" max="22" width="8.00390625" style="878" customWidth="1"/>
    <col min="23" max="23" width="7.75390625" style="878" customWidth="1"/>
    <col min="24" max="24" width="8.00390625" style="878" hidden="1" customWidth="1"/>
    <col min="25" max="25" width="5.75390625" style="878" customWidth="1"/>
    <col min="26" max="26" width="2.00390625" style="878" customWidth="1"/>
    <col min="27" max="27" width="9.25390625" style="878" customWidth="1"/>
    <col min="28" max="16384" width="8.00390625" style="878" customWidth="1"/>
  </cols>
  <sheetData>
    <row r="1" spans="2:27" ht="13.5" thickBot="1">
      <c r="B1" s="879"/>
      <c r="C1" s="858"/>
      <c r="D1" s="858"/>
      <c r="E1" s="858"/>
      <c r="F1" s="858"/>
      <c r="G1" s="858"/>
      <c r="H1" s="858"/>
      <c r="I1" s="858"/>
      <c r="J1" s="858"/>
      <c r="K1" s="858"/>
      <c r="L1" s="858"/>
      <c r="M1" s="858"/>
      <c r="N1" s="858"/>
      <c r="O1" s="858"/>
      <c r="P1" s="858"/>
      <c r="Q1" s="858"/>
      <c r="R1" s="858"/>
      <c r="S1" s="858"/>
      <c r="T1" s="858"/>
      <c r="U1" s="858"/>
      <c r="V1" s="858"/>
      <c r="W1" s="858"/>
      <c r="X1" s="858"/>
      <c r="Y1" s="858"/>
      <c r="Z1" s="858"/>
      <c r="AA1" s="880"/>
    </row>
    <row r="2" spans="2:27" ht="30" customHeight="1">
      <c r="B2" s="1386" t="s">
        <v>403</v>
      </c>
      <c r="C2" s="1450"/>
      <c r="D2" s="1450"/>
      <c r="E2" s="1450"/>
      <c r="F2" s="1450"/>
      <c r="G2" s="1450"/>
      <c r="H2" s="1450"/>
      <c r="I2" s="1450"/>
      <c r="J2" s="1450"/>
      <c r="K2" s="1450"/>
      <c r="L2" s="1450"/>
      <c r="M2" s="1450"/>
      <c r="N2" s="1450"/>
      <c r="O2" s="1450"/>
      <c r="P2" s="1450"/>
      <c r="Q2" s="1450"/>
      <c r="R2" s="1450"/>
      <c r="S2" s="1450"/>
      <c r="T2" s="1450"/>
      <c r="U2" s="1450"/>
      <c r="V2" s="1450"/>
      <c r="W2" s="1450"/>
      <c r="X2" s="1450"/>
      <c r="Y2" s="1450"/>
      <c r="Z2" s="1450"/>
      <c r="AA2" s="1451"/>
    </row>
    <row r="3" spans="2:27" ht="147" customHeight="1" thickBot="1">
      <c r="B3" s="1452"/>
      <c r="C3" s="1453"/>
      <c r="D3" s="1453"/>
      <c r="E3" s="1453"/>
      <c r="F3" s="1453"/>
      <c r="G3" s="1453"/>
      <c r="H3" s="1453"/>
      <c r="I3" s="1453"/>
      <c r="J3" s="1453"/>
      <c r="K3" s="1453"/>
      <c r="L3" s="1453"/>
      <c r="M3" s="1453"/>
      <c r="N3" s="1453"/>
      <c r="O3" s="1453"/>
      <c r="P3" s="1453"/>
      <c r="Q3" s="1453"/>
      <c r="R3" s="1453"/>
      <c r="S3" s="1453"/>
      <c r="T3" s="1453"/>
      <c r="U3" s="1453"/>
      <c r="V3" s="1453"/>
      <c r="W3" s="1453"/>
      <c r="X3" s="1453"/>
      <c r="Y3" s="1453"/>
      <c r="Z3" s="1453"/>
      <c r="AA3" s="1454"/>
    </row>
    <row r="4" spans="2:27" ht="30.75" thickBot="1">
      <c r="B4" s="1483" t="s">
        <v>404</v>
      </c>
      <c r="C4" s="1484"/>
      <c r="D4" s="1484"/>
      <c r="E4" s="1484"/>
      <c r="F4" s="1484"/>
      <c r="G4" s="1484"/>
      <c r="H4" s="1484"/>
      <c r="I4" s="1484"/>
      <c r="J4" s="1485"/>
      <c r="K4" s="1485"/>
      <c r="L4" s="1485"/>
      <c r="M4" s="1485"/>
      <c r="N4" s="1485"/>
      <c r="O4" s="1485"/>
      <c r="P4" s="1485"/>
      <c r="Q4" s="1485"/>
      <c r="R4" s="1485"/>
      <c r="S4" s="1485"/>
      <c r="T4" s="1485"/>
      <c r="U4" s="1485"/>
      <c r="V4" s="1485"/>
      <c r="W4" s="1485"/>
      <c r="X4" s="1485"/>
      <c r="Y4" s="1485"/>
      <c r="Z4" s="1485"/>
      <c r="AA4" s="1456"/>
    </row>
    <row r="5" spans="2:27" ht="33" customHeight="1" thickBot="1">
      <c r="B5" s="1455"/>
      <c r="C5" s="1410"/>
      <c r="D5" s="1410"/>
      <c r="E5" s="1410"/>
      <c r="F5" s="1410"/>
      <c r="G5" s="1410"/>
      <c r="H5" s="1410"/>
      <c r="I5" s="1410"/>
      <c r="J5" s="1410"/>
      <c r="K5" s="1410"/>
      <c r="L5" s="1410"/>
      <c r="M5" s="1410"/>
      <c r="N5" s="1410"/>
      <c r="O5" s="1410"/>
      <c r="P5" s="1410"/>
      <c r="Q5" s="1410"/>
      <c r="R5" s="1410"/>
      <c r="S5" s="1410"/>
      <c r="T5" s="1410"/>
      <c r="U5" s="1410"/>
      <c r="V5" s="1410"/>
      <c r="W5" s="1410"/>
      <c r="X5" s="1410"/>
      <c r="Y5" s="1410"/>
      <c r="Z5" s="1410"/>
      <c r="AA5" s="1456"/>
    </row>
    <row r="6" spans="1:29" s="883" customFormat="1" ht="30" customHeight="1" thickBot="1">
      <c r="A6" s="881"/>
      <c r="B6" s="1457" t="s">
        <v>296</v>
      </c>
      <c r="C6" s="1265"/>
      <c r="D6" s="1449"/>
      <c r="E6" s="1449"/>
      <c r="F6" s="1449"/>
      <c r="G6" s="1449"/>
      <c r="H6" s="1449"/>
      <c r="I6" s="1449"/>
      <c r="J6" s="1449"/>
      <c r="K6" s="1449"/>
      <c r="L6" s="1449"/>
      <c r="M6" s="1449"/>
      <c r="N6" s="1486" t="s">
        <v>297</v>
      </c>
      <c r="O6" s="1487"/>
      <c r="P6" s="1487"/>
      <c r="Q6" s="1487"/>
      <c r="R6" s="1443"/>
      <c r="S6" s="1444"/>
      <c r="T6" s="1444"/>
      <c r="U6" s="1444"/>
      <c r="V6" s="1444"/>
      <c r="W6" s="1444"/>
      <c r="X6" s="1444"/>
      <c r="Y6" s="1444"/>
      <c r="Z6" s="1444"/>
      <c r="AA6" s="1445"/>
      <c r="AB6" s="882"/>
      <c r="AC6" s="883" t="s">
        <v>77</v>
      </c>
    </row>
    <row r="7" spans="1:28" ht="30" customHeight="1" thickBot="1">
      <c r="A7" s="884"/>
      <c r="B7" s="1458" t="s">
        <v>298</v>
      </c>
      <c r="C7" s="1459"/>
      <c r="D7" s="1460"/>
      <c r="E7" s="1460"/>
      <c r="F7" s="1460"/>
      <c r="G7" s="1460"/>
      <c r="H7" s="1460"/>
      <c r="I7" s="1460"/>
      <c r="J7" s="1460"/>
      <c r="K7" s="1460"/>
      <c r="L7" s="1460"/>
      <c r="M7" s="1460"/>
      <c r="N7" s="1461" t="s">
        <v>299</v>
      </c>
      <c r="O7" s="1462"/>
      <c r="P7" s="1462"/>
      <c r="Q7" s="1462"/>
      <c r="R7" s="1446"/>
      <c r="S7" s="1447"/>
      <c r="T7" s="1447"/>
      <c r="U7" s="1447"/>
      <c r="V7" s="1447"/>
      <c r="W7" s="1447"/>
      <c r="X7" s="1447"/>
      <c r="Y7" s="1447"/>
      <c r="Z7" s="1447"/>
      <c r="AA7" s="1448"/>
      <c r="AB7" s="885"/>
    </row>
    <row r="8" spans="2:28" ht="12.75" customHeight="1" thickBot="1">
      <c r="B8" s="1289"/>
      <c r="C8" s="1350"/>
      <c r="D8" s="1350"/>
      <c r="E8" s="1350"/>
      <c r="F8" s="1350"/>
      <c r="G8" s="1350"/>
      <c r="H8" s="1350"/>
      <c r="I8" s="1350"/>
      <c r="J8" s="1350"/>
      <c r="K8" s="1350"/>
      <c r="L8" s="1350"/>
      <c r="M8" s="1350"/>
      <c r="N8" s="1350"/>
      <c r="O8" s="1350"/>
      <c r="P8" s="1350"/>
      <c r="Q8" s="1350"/>
      <c r="R8" s="1350"/>
      <c r="S8" s="1350"/>
      <c r="T8" s="1350"/>
      <c r="U8" s="1350"/>
      <c r="V8" s="1350"/>
      <c r="W8" s="1350"/>
      <c r="X8" s="1350"/>
      <c r="Y8" s="1350"/>
      <c r="Z8" s="1350"/>
      <c r="AA8" s="1550"/>
      <c r="AB8" s="885"/>
    </row>
    <row r="9" spans="2:27" ht="30" customHeight="1" thickBot="1">
      <c r="B9" s="1289" t="s">
        <v>378</v>
      </c>
      <c r="C9" s="1551"/>
      <c r="D9" s="1551"/>
      <c r="E9" s="1552"/>
      <c r="F9" s="886"/>
      <c r="G9" s="1574" t="s">
        <v>379</v>
      </c>
      <c r="H9" s="1575"/>
      <c r="I9" s="1575"/>
      <c r="J9" s="1575"/>
      <c r="K9" s="1575"/>
      <c r="L9" s="1576"/>
      <c r="M9" s="884"/>
      <c r="N9" s="1574" t="s">
        <v>286</v>
      </c>
      <c r="O9" s="1575"/>
      <c r="P9" s="1575"/>
      <c r="Q9" s="1575"/>
      <c r="R9" s="1575"/>
      <c r="S9" s="1576"/>
      <c r="T9" s="886"/>
      <c r="U9" s="1574" t="s">
        <v>222</v>
      </c>
      <c r="V9" s="1575"/>
      <c r="W9" s="1575"/>
      <c r="X9" s="1575"/>
      <c r="Y9" s="1577"/>
      <c r="Z9" s="1577"/>
      <c r="AA9" s="1578"/>
    </row>
    <row r="10" spans="2:27" s="887" customFormat="1" ht="30" customHeight="1">
      <c r="B10" s="1604" t="s">
        <v>210</v>
      </c>
      <c r="C10" s="1605"/>
      <c r="D10" s="1605"/>
      <c r="E10" s="1606"/>
      <c r="F10" s="886"/>
      <c r="G10" s="1289" t="s">
        <v>104</v>
      </c>
      <c r="H10" s="1551"/>
      <c r="I10" s="1551"/>
      <c r="J10" s="1551"/>
      <c r="K10" s="1551"/>
      <c r="L10" s="1552"/>
      <c r="M10" s="888"/>
      <c r="N10" s="1589" t="s">
        <v>401</v>
      </c>
      <c r="O10" s="1590"/>
      <c r="P10" s="1590"/>
      <c r="Q10" s="1590"/>
      <c r="R10" s="1590"/>
      <c r="S10" s="1591"/>
      <c r="T10" s="886"/>
      <c r="U10" s="1289" t="s">
        <v>211</v>
      </c>
      <c r="V10" s="1551"/>
      <c r="W10" s="1551"/>
      <c r="X10" s="1552"/>
      <c r="Y10" s="1579" t="s">
        <v>380</v>
      </c>
      <c r="Z10" s="1580"/>
      <c r="AA10" s="1581"/>
    </row>
    <row r="11" spans="2:27" s="887" customFormat="1" ht="30" customHeight="1" thickBot="1">
      <c r="B11" s="1607" t="s">
        <v>381</v>
      </c>
      <c r="C11" s="1608"/>
      <c r="D11" s="1608"/>
      <c r="E11" s="1609"/>
      <c r="F11" s="886"/>
      <c r="G11" s="1556" t="s">
        <v>381</v>
      </c>
      <c r="H11" s="1557"/>
      <c r="I11" s="1557"/>
      <c r="J11" s="1557"/>
      <c r="K11" s="1557"/>
      <c r="L11" s="1558"/>
      <c r="M11" s="888"/>
      <c r="N11" s="1592"/>
      <c r="O11" s="1593"/>
      <c r="P11" s="1593"/>
      <c r="Q11" s="1593"/>
      <c r="R11" s="1593"/>
      <c r="S11" s="1594"/>
      <c r="T11" s="886"/>
      <c r="U11" s="1601" t="s">
        <v>212</v>
      </c>
      <c r="V11" s="1602"/>
      <c r="W11" s="1602"/>
      <c r="X11" s="1603"/>
      <c r="Y11" s="1582"/>
      <c r="Z11" s="1583"/>
      <c r="AA11" s="1584"/>
    </row>
    <row r="12" spans="2:28" s="887" customFormat="1" ht="30" customHeight="1" thickBot="1">
      <c r="B12" s="1585" t="s">
        <v>308</v>
      </c>
      <c r="C12" s="1561"/>
      <c r="D12" s="1561"/>
      <c r="E12" s="1562"/>
      <c r="F12" s="889"/>
      <c r="G12" s="1559" t="s">
        <v>308</v>
      </c>
      <c r="H12" s="1560"/>
      <c r="I12" s="1561"/>
      <c r="J12" s="1561"/>
      <c r="K12" s="1561"/>
      <c r="L12" s="1562"/>
      <c r="M12" s="890"/>
      <c r="N12" s="1595"/>
      <c r="O12" s="1596"/>
      <c r="P12" s="1596"/>
      <c r="Q12" s="1596"/>
      <c r="R12" s="1596"/>
      <c r="S12" s="1597"/>
      <c r="T12" s="889"/>
      <c r="U12" s="891" t="s">
        <v>223</v>
      </c>
      <c r="V12" s="1559" t="s">
        <v>354</v>
      </c>
      <c r="W12" s="1561"/>
      <c r="X12" s="1562"/>
      <c r="Y12" s="1582"/>
      <c r="Z12" s="1583"/>
      <c r="AA12" s="1584"/>
      <c r="AB12" s="892"/>
    </row>
    <row r="13" spans="2:28" s="887" customFormat="1" ht="30" customHeight="1" thickBot="1">
      <c r="B13" s="1563"/>
      <c r="C13" s="1564"/>
      <c r="D13" s="1564"/>
      <c r="E13" s="1565"/>
      <c r="F13" s="889"/>
      <c r="G13" s="1569"/>
      <c r="H13" s="1570"/>
      <c r="I13" s="1570"/>
      <c r="J13" s="1570"/>
      <c r="K13" s="1570"/>
      <c r="L13" s="1571"/>
      <c r="M13" s="893"/>
      <c r="N13" s="1598"/>
      <c r="O13" s="1599"/>
      <c r="P13" s="1599"/>
      <c r="Q13" s="1599"/>
      <c r="R13" s="1599"/>
      <c r="S13" s="1600"/>
      <c r="T13" s="889"/>
      <c r="U13" s="894" t="s">
        <v>224</v>
      </c>
      <c r="V13" s="1615"/>
      <c r="W13" s="1616"/>
      <c r="X13" s="1617"/>
      <c r="Y13" s="1582"/>
      <c r="Z13" s="1583"/>
      <c r="AA13" s="1584"/>
      <c r="AB13" s="892"/>
    </row>
    <row r="14" spans="2:28" ht="30" customHeight="1">
      <c r="B14" s="1586" t="s">
        <v>225</v>
      </c>
      <c r="C14" s="1553" t="s">
        <v>309</v>
      </c>
      <c r="D14" s="1554"/>
      <c r="E14" s="1555"/>
      <c r="F14" s="895"/>
      <c r="G14" s="1566" t="s">
        <v>382</v>
      </c>
      <c r="H14" s="1567"/>
      <c r="I14" s="1567"/>
      <c r="J14" s="1567"/>
      <c r="K14" s="1567"/>
      <c r="L14" s="1568"/>
      <c r="M14" s="895"/>
      <c r="N14" s="1566" t="s">
        <v>383</v>
      </c>
      <c r="O14" s="1567"/>
      <c r="P14" s="1567"/>
      <c r="Q14" s="1567"/>
      <c r="R14" s="1567"/>
      <c r="S14" s="1568"/>
      <c r="T14" s="895"/>
      <c r="U14" s="1566" t="s">
        <v>226</v>
      </c>
      <c r="V14" s="1572"/>
      <c r="W14" s="1572"/>
      <c r="X14" s="1573"/>
      <c r="Y14" s="1582"/>
      <c r="Z14" s="1583"/>
      <c r="AA14" s="1584"/>
      <c r="AB14" s="885"/>
    </row>
    <row r="15" spans="2:28" ht="30" customHeight="1" thickBot="1">
      <c r="B15" s="1587"/>
      <c r="C15" s="1610" t="s">
        <v>308</v>
      </c>
      <c r="D15" s="1611"/>
      <c r="E15" s="1612"/>
      <c r="F15" s="896"/>
      <c r="G15" s="1613" t="s">
        <v>308</v>
      </c>
      <c r="H15" s="1614"/>
      <c r="I15" s="1611"/>
      <c r="J15" s="1611"/>
      <c r="K15" s="1611"/>
      <c r="L15" s="1612"/>
      <c r="M15" s="895"/>
      <c r="N15" s="1613" t="s">
        <v>308</v>
      </c>
      <c r="O15" s="1614"/>
      <c r="P15" s="1611"/>
      <c r="Q15" s="1611"/>
      <c r="R15" s="1611"/>
      <c r="S15" s="1612"/>
      <c r="T15" s="895"/>
      <c r="U15" s="1585" t="s">
        <v>308</v>
      </c>
      <c r="V15" s="1561"/>
      <c r="W15" s="1561"/>
      <c r="X15" s="1562"/>
      <c r="Y15" s="1096" t="s">
        <v>227</v>
      </c>
      <c r="Z15" s="1588"/>
      <c r="AA15" s="897" t="s">
        <v>97</v>
      </c>
      <c r="AB15" s="885"/>
    </row>
    <row r="16" spans="2:28" ht="30" customHeight="1" thickBot="1">
      <c r="B16" s="898">
        <v>1</v>
      </c>
      <c r="C16" s="1499"/>
      <c r="D16" s="1546"/>
      <c r="E16" s="1547"/>
      <c r="F16" s="899"/>
      <c r="G16" s="1496"/>
      <c r="H16" s="1497"/>
      <c r="I16" s="1497"/>
      <c r="J16" s="1497"/>
      <c r="K16" s="1497"/>
      <c r="L16" s="1498"/>
      <c r="M16" s="900"/>
      <c r="N16" s="1542"/>
      <c r="O16" s="1543"/>
      <c r="P16" s="1543"/>
      <c r="Q16" s="1543"/>
      <c r="R16" s="1543"/>
      <c r="S16" s="1544"/>
      <c r="T16" s="899"/>
      <c r="U16" s="1499"/>
      <c r="V16" s="1500"/>
      <c r="W16" s="1500"/>
      <c r="X16" s="1501"/>
      <c r="Y16" s="1548"/>
      <c r="Z16" s="1549"/>
      <c r="AA16" s="946"/>
      <c r="AB16" s="885"/>
    </row>
    <row r="17" spans="2:28" ht="30" customHeight="1" thickBot="1">
      <c r="B17" s="901">
        <v>2</v>
      </c>
      <c r="C17" s="1499"/>
      <c r="D17" s="1546"/>
      <c r="E17" s="1547"/>
      <c r="F17" s="902"/>
      <c r="G17" s="1496"/>
      <c r="H17" s="1497"/>
      <c r="I17" s="1497"/>
      <c r="J17" s="1497"/>
      <c r="K17" s="1497"/>
      <c r="L17" s="1498"/>
      <c r="M17" s="900"/>
      <c r="N17" s="1542"/>
      <c r="O17" s="1543"/>
      <c r="P17" s="1543"/>
      <c r="Q17" s="1543"/>
      <c r="R17" s="1543"/>
      <c r="S17" s="1544"/>
      <c r="T17" s="902"/>
      <c r="U17" s="1499"/>
      <c r="V17" s="1500"/>
      <c r="W17" s="1500"/>
      <c r="X17" s="1501"/>
      <c r="Y17" s="1481"/>
      <c r="Z17" s="1482"/>
      <c r="AA17" s="946"/>
      <c r="AB17" s="885"/>
    </row>
    <row r="18" spans="2:28" ht="30" customHeight="1" thickBot="1">
      <c r="B18" s="844">
        <v>3</v>
      </c>
      <c r="C18" s="1499"/>
      <c r="D18" s="1546"/>
      <c r="E18" s="1547"/>
      <c r="F18" s="902"/>
      <c r="G18" s="1496"/>
      <c r="H18" s="1497"/>
      <c r="I18" s="1497"/>
      <c r="J18" s="1497"/>
      <c r="K18" s="1497"/>
      <c r="L18" s="1498"/>
      <c r="M18" s="900"/>
      <c r="N18" s="1542"/>
      <c r="O18" s="1543"/>
      <c r="P18" s="1543"/>
      <c r="Q18" s="1543"/>
      <c r="R18" s="1543"/>
      <c r="S18" s="1544"/>
      <c r="T18" s="902"/>
      <c r="U18" s="1499"/>
      <c r="V18" s="1500"/>
      <c r="W18" s="1500"/>
      <c r="X18" s="1501"/>
      <c r="Y18" s="1481"/>
      <c r="Z18" s="1482"/>
      <c r="AA18" s="946"/>
      <c r="AB18" s="885"/>
    </row>
    <row r="19" spans="2:28" ht="30" customHeight="1" thickBot="1">
      <c r="B19" s="901">
        <v>4</v>
      </c>
      <c r="C19" s="1499"/>
      <c r="D19" s="1546"/>
      <c r="E19" s="1547"/>
      <c r="F19" s="902"/>
      <c r="G19" s="1496"/>
      <c r="H19" s="1497"/>
      <c r="I19" s="1497"/>
      <c r="J19" s="1497"/>
      <c r="K19" s="1497"/>
      <c r="L19" s="1498"/>
      <c r="M19" s="900"/>
      <c r="N19" s="1542"/>
      <c r="O19" s="1543"/>
      <c r="P19" s="1543"/>
      <c r="Q19" s="1543"/>
      <c r="R19" s="1543"/>
      <c r="S19" s="1544"/>
      <c r="T19" s="902"/>
      <c r="U19" s="1499"/>
      <c r="V19" s="1500"/>
      <c r="W19" s="1500"/>
      <c r="X19" s="1501"/>
      <c r="Y19" s="1481"/>
      <c r="Z19" s="1482"/>
      <c r="AA19" s="946"/>
      <c r="AB19" s="885"/>
    </row>
    <row r="20" spans="2:28" ht="30" customHeight="1" thickBot="1">
      <c r="B20" s="844">
        <v>5</v>
      </c>
      <c r="C20" s="1499"/>
      <c r="D20" s="1546"/>
      <c r="E20" s="1547"/>
      <c r="F20" s="902"/>
      <c r="G20" s="1496"/>
      <c r="H20" s="1497"/>
      <c r="I20" s="1497"/>
      <c r="J20" s="1497"/>
      <c r="K20" s="1497"/>
      <c r="L20" s="1498"/>
      <c r="M20" s="903"/>
      <c r="N20" s="1542"/>
      <c r="O20" s="1543"/>
      <c r="P20" s="1543"/>
      <c r="Q20" s="1543"/>
      <c r="R20" s="1543"/>
      <c r="S20" s="1544"/>
      <c r="T20" s="902"/>
      <c r="U20" s="1499"/>
      <c r="V20" s="1500"/>
      <c r="W20" s="1500"/>
      <c r="X20" s="1501"/>
      <c r="Y20" s="1481"/>
      <c r="Z20" s="1482"/>
      <c r="AA20" s="946"/>
      <c r="AB20" s="885"/>
    </row>
    <row r="21" spans="2:28" ht="30" customHeight="1" thickBot="1">
      <c r="B21" s="901">
        <v>6</v>
      </c>
      <c r="C21" s="1499"/>
      <c r="D21" s="1546"/>
      <c r="E21" s="1547"/>
      <c r="F21" s="902"/>
      <c r="G21" s="1496"/>
      <c r="H21" s="1497"/>
      <c r="I21" s="1497"/>
      <c r="J21" s="1497"/>
      <c r="K21" s="1497"/>
      <c r="L21" s="1498"/>
      <c r="M21" s="903"/>
      <c r="N21" s="1542"/>
      <c r="O21" s="1543"/>
      <c r="P21" s="1543"/>
      <c r="Q21" s="1543"/>
      <c r="R21" s="1543"/>
      <c r="S21" s="1544"/>
      <c r="T21" s="902"/>
      <c r="U21" s="1499"/>
      <c r="V21" s="1500"/>
      <c r="W21" s="1500"/>
      <c r="X21" s="1501"/>
      <c r="Y21" s="1481"/>
      <c r="Z21" s="1482"/>
      <c r="AA21" s="946"/>
      <c r="AB21" s="885"/>
    </row>
    <row r="22" spans="2:28" ht="30" customHeight="1" thickBot="1">
      <c r="B22" s="844">
        <v>7</v>
      </c>
      <c r="C22" s="1499"/>
      <c r="D22" s="1546"/>
      <c r="E22" s="1547"/>
      <c r="F22" s="902"/>
      <c r="G22" s="1496"/>
      <c r="H22" s="1497"/>
      <c r="I22" s="1497"/>
      <c r="J22" s="1497"/>
      <c r="K22" s="1497"/>
      <c r="L22" s="1498"/>
      <c r="M22" s="903"/>
      <c r="N22" s="1542"/>
      <c r="O22" s="1543"/>
      <c r="P22" s="1543"/>
      <c r="Q22" s="1543"/>
      <c r="R22" s="1543"/>
      <c r="S22" s="1544"/>
      <c r="T22" s="902"/>
      <c r="U22" s="1499"/>
      <c r="V22" s="1500"/>
      <c r="W22" s="1500"/>
      <c r="X22" s="1501"/>
      <c r="Y22" s="1481"/>
      <c r="Z22" s="1482"/>
      <c r="AA22" s="946"/>
      <c r="AB22" s="885"/>
    </row>
    <row r="23" spans="2:28" ht="30" customHeight="1" thickBot="1">
      <c r="B23" s="904">
        <v>8</v>
      </c>
      <c r="C23" s="1499"/>
      <c r="D23" s="1546"/>
      <c r="E23" s="1547"/>
      <c r="F23" s="902"/>
      <c r="G23" s="1496"/>
      <c r="H23" s="1497"/>
      <c r="I23" s="1497"/>
      <c r="J23" s="1497"/>
      <c r="K23" s="1497"/>
      <c r="L23" s="1498"/>
      <c r="M23" s="903"/>
      <c r="N23" s="1542"/>
      <c r="O23" s="1543"/>
      <c r="P23" s="1543"/>
      <c r="Q23" s="1543"/>
      <c r="R23" s="1543"/>
      <c r="S23" s="1544"/>
      <c r="T23" s="902"/>
      <c r="U23" s="1499"/>
      <c r="V23" s="1500"/>
      <c r="W23" s="1500"/>
      <c r="X23" s="1501"/>
      <c r="Y23" s="1481"/>
      <c r="Z23" s="1482"/>
      <c r="AA23" s="946"/>
      <c r="AB23" s="885"/>
    </row>
    <row r="24" spans="2:28" ht="30" customHeight="1" thickBot="1">
      <c r="B24" s="843" t="s">
        <v>213</v>
      </c>
      <c r="C24" s="1469"/>
      <c r="D24" s="1470"/>
      <c r="E24" s="1471"/>
      <c r="F24" s="1467"/>
      <c r="G24" s="1464" t="s">
        <v>384</v>
      </c>
      <c r="H24" s="1465"/>
      <c r="I24" s="1465"/>
      <c r="J24" s="1465"/>
      <c r="K24" s="1465"/>
      <c r="L24" s="1465"/>
      <c r="M24" s="1465"/>
      <c r="N24" s="1465"/>
      <c r="O24" s="1466"/>
      <c r="P24" s="1537"/>
      <c r="Q24" s="1538"/>
      <c r="R24" s="1538"/>
      <c r="S24" s="1539"/>
      <c r="T24" s="1467"/>
      <c r="U24" s="1472" t="s">
        <v>385</v>
      </c>
      <c r="V24" s="1473"/>
      <c r="W24" s="1473"/>
      <c r="X24" s="1474"/>
      <c r="Y24" s="1481"/>
      <c r="Z24" s="1495"/>
      <c r="AA24" s="947"/>
      <c r="AB24" s="885"/>
    </row>
    <row r="25" spans="2:30" ht="30" customHeight="1" thickBot="1">
      <c r="B25" s="898" t="s">
        <v>386</v>
      </c>
      <c r="C25" s="1488"/>
      <c r="D25" s="1489"/>
      <c r="E25" s="1490"/>
      <c r="F25" s="1468"/>
      <c r="G25" s="1534" t="s">
        <v>387</v>
      </c>
      <c r="H25" s="1535"/>
      <c r="I25" s="1535"/>
      <c r="J25" s="1535"/>
      <c r="K25" s="1535"/>
      <c r="L25" s="1535"/>
      <c r="M25" s="1535"/>
      <c r="N25" s="1535"/>
      <c r="O25" s="1536"/>
      <c r="P25" s="1540"/>
      <c r="Q25" s="1541"/>
      <c r="R25" s="1541"/>
      <c r="S25" s="1514"/>
      <c r="T25" s="1468"/>
      <c r="U25" s="1491"/>
      <c r="V25" s="1492"/>
      <c r="W25" s="1492"/>
      <c r="X25" s="905"/>
      <c r="Y25" s="1493"/>
      <c r="Z25" s="1492"/>
      <c r="AA25" s="1494"/>
      <c r="AB25" s="885"/>
      <c r="AD25" s="887" t="s">
        <v>77</v>
      </c>
    </row>
    <row r="26" spans="2:30" ht="30" customHeight="1" thickBot="1">
      <c r="B26" s="1060"/>
      <c r="C26" s="1265"/>
      <c r="D26" s="1265"/>
      <c r="E26" s="1463"/>
      <c r="F26" s="865"/>
      <c r="G26" s="1478"/>
      <c r="H26" s="1479"/>
      <c r="I26" s="1479"/>
      <c r="J26" s="1479"/>
      <c r="K26" s="1479"/>
      <c r="L26" s="1479"/>
      <c r="M26" s="1479"/>
      <c r="N26" s="1479"/>
      <c r="O26" s="1479"/>
      <c r="P26" s="1479"/>
      <c r="Q26" s="1479"/>
      <c r="R26" s="1479"/>
      <c r="S26" s="1480"/>
      <c r="T26" s="865"/>
      <c r="U26" s="1472" t="s">
        <v>388</v>
      </c>
      <c r="V26" s="1545"/>
      <c r="W26" s="1545"/>
      <c r="X26" s="906"/>
      <c r="Y26" s="1475"/>
      <c r="Z26" s="1476"/>
      <c r="AA26" s="1477"/>
      <c r="AB26" s="885"/>
      <c r="AD26" s="887"/>
    </row>
    <row r="27" spans="2:30" ht="10.5" customHeight="1" thickBot="1">
      <c r="B27" s="1060"/>
      <c r="C27" s="1265"/>
      <c r="D27" s="1265"/>
      <c r="E27" s="1265"/>
      <c r="F27" s="1265"/>
      <c r="G27" s="1265"/>
      <c r="H27" s="1265"/>
      <c r="I27" s="1265"/>
      <c r="J27" s="1265"/>
      <c r="K27" s="1265"/>
      <c r="L27" s="1265"/>
      <c r="M27" s="1265"/>
      <c r="N27" s="1265"/>
      <c r="O27" s="1265"/>
      <c r="P27" s="1265"/>
      <c r="Q27" s="1265"/>
      <c r="R27" s="1265"/>
      <c r="S27" s="1265"/>
      <c r="T27" s="1265"/>
      <c r="U27" s="1265"/>
      <c r="V27" s="1265"/>
      <c r="W27" s="1265"/>
      <c r="X27" s="1265"/>
      <c r="Y27" s="1265"/>
      <c r="Z27" s="1265"/>
      <c r="AA27" s="1463"/>
      <c r="AB27" s="885"/>
      <c r="AD27" s="887"/>
    </row>
    <row r="28" spans="1:28" ht="30" customHeight="1" thickBot="1">
      <c r="A28" s="887"/>
      <c r="B28" s="1523" t="s">
        <v>389</v>
      </c>
      <c r="C28" s="1524"/>
      <c r="D28" s="1524"/>
      <c r="E28" s="1524"/>
      <c r="F28" s="1524"/>
      <c r="G28" s="1524"/>
      <c r="H28" s="1524"/>
      <c r="I28" s="1524"/>
      <c r="J28" s="1524"/>
      <c r="K28" s="1524"/>
      <c r="L28" s="1524"/>
      <c r="M28" s="1524"/>
      <c r="N28" s="1524"/>
      <c r="O28" s="1524"/>
      <c r="P28" s="1524"/>
      <c r="Q28" s="1524"/>
      <c r="R28" s="1524"/>
      <c r="S28" s="1524"/>
      <c r="T28" s="1524"/>
      <c r="U28" s="1524"/>
      <c r="V28" s="1524"/>
      <c r="W28" s="1524"/>
      <c r="X28" s="1524"/>
      <c r="Y28" s="1524"/>
      <c r="Z28" s="1524"/>
      <c r="AA28" s="1525"/>
      <c r="AB28" s="885"/>
    </row>
    <row r="29" spans="2:28" s="907" customFormat="1" ht="30" customHeight="1" thickBot="1">
      <c r="B29" s="1505" t="s">
        <v>394</v>
      </c>
      <c r="C29" s="1506"/>
      <c r="D29" s="1506"/>
      <c r="E29" s="1506"/>
      <c r="F29" s="1506"/>
      <c r="G29" s="1506"/>
      <c r="H29" s="1506"/>
      <c r="I29" s="1506"/>
      <c r="J29" s="1506"/>
      <c r="K29" s="1506"/>
      <c r="L29" s="1506"/>
      <c r="M29" s="1506"/>
      <c r="N29" s="1506"/>
      <c r="O29" s="1506"/>
      <c r="P29" s="1506"/>
      <c r="Q29" s="1506"/>
      <c r="R29" s="1506"/>
      <c r="S29" s="1506"/>
      <c r="T29" s="1507"/>
      <c r="U29" s="1511"/>
      <c r="V29" s="1512"/>
      <c r="W29" s="1512"/>
      <c r="X29" s="1513"/>
      <c r="Y29" s="1513"/>
      <c r="Z29" s="1513"/>
      <c r="AA29" s="1514"/>
      <c r="AB29" s="908"/>
    </row>
    <row r="30" spans="2:29" s="907" customFormat="1" ht="30" customHeight="1" thickBot="1">
      <c r="B30" s="1508" t="s">
        <v>390</v>
      </c>
      <c r="C30" s="1509"/>
      <c r="D30" s="1509"/>
      <c r="E30" s="1509"/>
      <c r="F30" s="1509"/>
      <c r="G30" s="1509"/>
      <c r="H30" s="1509"/>
      <c r="I30" s="1509"/>
      <c r="J30" s="1509"/>
      <c r="K30" s="1509"/>
      <c r="L30" s="1509"/>
      <c r="M30" s="1509"/>
      <c r="N30" s="1509"/>
      <c r="O30" s="1509"/>
      <c r="P30" s="1509"/>
      <c r="Q30" s="1509"/>
      <c r="R30" s="1509"/>
      <c r="S30" s="1509"/>
      <c r="T30" s="1510"/>
      <c r="U30" s="1511"/>
      <c r="V30" s="1512"/>
      <c r="W30" s="1512"/>
      <c r="X30" s="1513"/>
      <c r="Y30" s="1513"/>
      <c r="Z30" s="1513"/>
      <c r="AA30" s="1514"/>
      <c r="AB30" s="908"/>
      <c r="AC30" s="909" t="s">
        <v>77</v>
      </c>
    </row>
    <row r="31" spans="2:28" s="907" customFormat="1" ht="30" customHeight="1" thickBot="1">
      <c r="B31" s="1508" t="s">
        <v>395</v>
      </c>
      <c r="C31" s="1509"/>
      <c r="D31" s="1509"/>
      <c r="E31" s="1509"/>
      <c r="F31" s="1509"/>
      <c r="G31" s="1509"/>
      <c r="H31" s="1509"/>
      <c r="I31" s="1509"/>
      <c r="J31" s="1509"/>
      <c r="K31" s="1509"/>
      <c r="L31" s="1509"/>
      <c r="M31" s="1509"/>
      <c r="N31" s="1509"/>
      <c r="O31" s="1509"/>
      <c r="P31" s="1509"/>
      <c r="Q31" s="1509"/>
      <c r="R31" s="1509"/>
      <c r="S31" s="1509"/>
      <c r="T31" s="1510"/>
      <c r="U31" s="1511"/>
      <c r="V31" s="1512"/>
      <c r="W31" s="1512"/>
      <c r="X31" s="1513"/>
      <c r="Y31" s="1513"/>
      <c r="Z31" s="1513"/>
      <c r="AA31" s="1514"/>
      <c r="AB31" s="908"/>
    </row>
    <row r="32" spans="2:28" s="907" customFormat="1" ht="12.75" customHeight="1" thickBot="1">
      <c r="B32" s="1508"/>
      <c r="C32" s="1532"/>
      <c r="D32" s="1532"/>
      <c r="E32" s="1532"/>
      <c r="F32" s="1532"/>
      <c r="G32" s="1532"/>
      <c r="H32" s="1532"/>
      <c r="I32" s="1532"/>
      <c r="J32" s="1532"/>
      <c r="K32" s="1532"/>
      <c r="L32" s="1532"/>
      <c r="M32" s="1532"/>
      <c r="N32" s="1532"/>
      <c r="O32" s="1532"/>
      <c r="P32" s="1532"/>
      <c r="Q32" s="1532"/>
      <c r="R32" s="1532"/>
      <c r="S32" s="1532"/>
      <c r="T32" s="1532"/>
      <c r="U32" s="1532"/>
      <c r="V32" s="1532"/>
      <c r="W32" s="1532"/>
      <c r="X32" s="1532"/>
      <c r="Y32" s="1532"/>
      <c r="Z32" s="1532"/>
      <c r="AA32" s="1533"/>
      <c r="AB32" s="910"/>
    </row>
    <row r="33" spans="2:28" s="907" customFormat="1" ht="30" customHeight="1" thickBot="1">
      <c r="B33" s="1060" t="s">
        <v>391</v>
      </c>
      <c r="C33" s="1530"/>
      <c r="D33" s="1530"/>
      <c r="E33" s="1530"/>
      <c r="F33" s="1530"/>
      <c r="G33" s="1530"/>
      <c r="H33" s="1530"/>
      <c r="I33" s="1530"/>
      <c r="J33" s="1530"/>
      <c r="K33" s="1530"/>
      <c r="L33" s="1530"/>
      <c r="M33" s="1530"/>
      <c r="N33" s="1530"/>
      <c r="O33" s="1530"/>
      <c r="P33" s="1530"/>
      <c r="Q33" s="1530"/>
      <c r="R33" s="1530"/>
      <c r="S33" s="1530"/>
      <c r="T33" s="1530"/>
      <c r="U33" s="1530"/>
      <c r="V33" s="1530"/>
      <c r="W33" s="1530"/>
      <c r="X33" s="1530"/>
      <c r="Y33" s="1530"/>
      <c r="Z33" s="1530"/>
      <c r="AA33" s="1531"/>
      <c r="AB33" s="910"/>
    </row>
    <row r="34" spans="2:28" s="907" customFormat="1" ht="30" customHeight="1" thickBot="1">
      <c r="B34" s="1505" t="s">
        <v>392</v>
      </c>
      <c r="C34" s="1506"/>
      <c r="D34" s="1506"/>
      <c r="E34" s="1506"/>
      <c r="F34" s="1506"/>
      <c r="G34" s="1506"/>
      <c r="H34" s="1506"/>
      <c r="I34" s="1506"/>
      <c r="J34" s="1506"/>
      <c r="K34" s="1506"/>
      <c r="L34" s="1506"/>
      <c r="M34" s="1506"/>
      <c r="N34" s="1506"/>
      <c r="O34" s="1506"/>
      <c r="P34" s="1506"/>
      <c r="Q34" s="1506"/>
      <c r="R34" s="1506"/>
      <c r="S34" s="1506"/>
      <c r="T34" s="1507"/>
      <c r="U34" s="1515"/>
      <c r="V34" s="1516"/>
      <c r="W34" s="1516"/>
      <c r="X34" s="1517"/>
      <c r="Y34" s="1517"/>
      <c r="Z34" s="1517"/>
      <c r="AA34" s="1518"/>
      <c r="AB34" s="910"/>
    </row>
    <row r="35" spans="2:28" s="907" customFormat="1" ht="30" customHeight="1" thickBot="1">
      <c r="B35" s="1508" t="s">
        <v>393</v>
      </c>
      <c r="C35" s="1509"/>
      <c r="D35" s="1509"/>
      <c r="E35" s="1509"/>
      <c r="F35" s="1509"/>
      <c r="G35" s="1509"/>
      <c r="H35" s="1509"/>
      <c r="I35" s="1509"/>
      <c r="J35" s="1509"/>
      <c r="K35" s="1509"/>
      <c r="L35" s="1509"/>
      <c r="M35" s="1509"/>
      <c r="N35" s="1509"/>
      <c r="O35" s="1509"/>
      <c r="P35" s="1509"/>
      <c r="Q35" s="1509"/>
      <c r="R35" s="1509"/>
      <c r="S35" s="1509"/>
      <c r="T35" s="1510"/>
      <c r="U35" s="1515"/>
      <c r="V35" s="1516"/>
      <c r="W35" s="1516"/>
      <c r="X35" s="1517"/>
      <c r="Y35" s="1517"/>
      <c r="Z35" s="1517"/>
      <c r="AA35" s="1518"/>
      <c r="AB35" s="910"/>
    </row>
    <row r="36" spans="2:28" s="907" customFormat="1" ht="30" customHeight="1" thickBot="1">
      <c r="B36" s="1508" t="s">
        <v>396</v>
      </c>
      <c r="C36" s="1509"/>
      <c r="D36" s="1509"/>
      <c r="E36" s="1509"/>
      <c r="F36" s="1509"/>
      <c r="G36" s="1509"/>
      <c r="H36" s="1509"/>
      <c r="I36" s="1509"/>
      <c r="J36" s="1509"/>
      <c r="K36" s="1509"/>
      <c r="L36" s="1509"/>
      <c r="M36" s="1509"/>
      <c r="N36" s="1509"/>
      <c r="O36" s="1509"/>
      <c r="P36" s="1509"/>
      <c r="Q36" s="1509"/>
      <c r="R36" s="1509"/>
      <c r="S36" s="1509"/>
      <c r="T36" s="1510"/>
      <c r="U36" s="1519"/>
      <c r="V36" s="1520"/>
      <c r="W36" s="1520"/>
      <c r="X36" s="1521"/>
      <c r="Y36" s="1521"/>
      <c r="Z36" s="1521"/>
      <c r="AA36" s="1522"/>
      <c r="AB36" s="910"/>
    </row>
    <row r="37" spans="2:28" s="907" customFormat="1" ht="30" customHeight="1" thickBot="1">
      <c r="B37" s="1508" t="s">
        <v>397</v>
      </c>
      <c r="C37" s="1509"/>
      <c r="D37" s="1509"/>
      <c r="E37" s="1509"/>
      <c r="F37" s="1509"/>
      <c r="G37" s="1509"/>
      <c r="H37" s="1509"/>
      <c r="I37" s="1509"/>
      <c r="J37" s="1509"/>
      <c r="K37" s="1509"/>
      <c r="L37" s="1509"/>
      <c r="M37" s="1509"/>
      <c r="N37" s="1509"/>
      <c r="O37" s="1509"/>
      <c r="P37" s="1509"/>
      <c r="Q37" s="1509"/>
      <c r="R37" s="1509"/>
      <c r="S37" s="1509"/>
      <c r="T37" s="1510"/>
      <c r="U37" s="1526"/>
      <c r="V37" s="1527"/>
      <c r="W37" s="1527"/>
      <c r="X37" s="1528"/>
      <c r="Y37" s="1528"/>
      <c r="Z37" s="1528"/>
      <c r="AA37" s="1529"/>
      <c r="AB37" s="910"/>
    </row>
    <row r="38" spans="2:28" s="907" customFormat="1" ht="30" customHeight="1" thickBot="1">
      <c r="B38" s="1508" t="s">
        <v>398</v>
      </c>
      <c r="C38" s="1509"/>
      <c r="D38" s="1509"/>
      <c r="E38" s="1509"/>
      <c r="F38" s="1509"/>
      <c r="G38" s="1509"/>
      <c r="H38" s="1509"/>
      <c r="I38" s="1509"/>
      <c r="J38" s="1509"/>
      <c r="K38" s="1509"/>
      <c r="L38" s="1509"/>
      <c r="M38" s="1509"/>
      <c r="N38" s="1509"/>
      <c r="O38" s="1509"/>
      <c r="P38" s="1509"/>
      <c r="Q38" s="1509"/>
      <c r="R38" s="1509"/>
      <c r="S38" s="1509"/>
      <c r="T38" s="1510"/>
      <c r="U38" s="1526"/>
      <c r="V38" s="1527"/>
      <c r="W38" s="1527"/>
      <c r="X38" s="1528"/>
      <c r="Y38" s="1528"/>
      <c r="Z38" s="1528"/>
      <c r="AA38" s="1529"/>
      <c r="AB38" s="910"/>
    </row>
    <row r="39" spans="2:28" s="907" customFormat="1" ht="15.75">
      <c r="B39" s="911"/>
      <c r="C39" s="911"/>
      <c r="D39" s="911"/>
      <c r="E39" s="911"/>
      <c r="F39" s="911"/>
      <c r="G39" s="911"/>
      <c r="H39" s="911"/>
      <c r="I39" s="911"/>
      <c r="J39" s="911"/>
      <c r="K39" s="911"/>
      <c r="L39" s="911"/>
      <c r="M39" s="911"/>
      <c r="N39" s="911"/>
      <c r="O39" s="911"/>
      <c r="P39" s="911"/>
      <c r="Q39" s="911"/>
      <c r="R39" s="911"/>
      <c r="S39" s="911"/>
      <c r="T39" s="911"/>
      <c r="U39" s="912"/>
      <c r="V39" s="913"/>
      <c r="W39" s="913"/>
      <c r="X39" s="845"/>
      <c r="Y39" s="845"/>
      <c r="Z39" s="845"/>
      <c r="AA39" s="845"/>
      <c r="AB39" s="910"/>
    </row>
    <row r="40" spans="2:28" s="907" customFormat="1" ht="15.75">
      <c r="B40" s="911"/>
      <c r="C40" s="911"/>
      <c r="D40" s="911"/>
      <c r="E40" s="911"/>
      <c r="F40" s="911"/>
      <c r="G40" s="911"/>
      <c r="H40" s="911"/>
      <c r="I40" s="911"/>
      <c r="J40" s="911"/>
      <c r="K40" s="911"/>
      <c r="L40" s="911"/>
      <c r="M40" s="911"/>
      <c r="N40" s="911"/>
      <c r="O40" s="911"/>
      <c r="P40" s="911"/>
      <c r="Q40" s="911"/>
      <c r="R40" s="911"/>
      <c r="S40" s="911"/>
      <c r="T40" s="911"/>
      <c r="U40" s="912"/>
      <c r="V40" s="913"/>
      <c r="W40" s="913"/>
      <c r="X40" s="845"/>
      <c r="Y40" s="845"/>
      <c r="Z40" s="845"/>
      <c r="AA40" s="845"/>
      <c r="AB40" s="910"/>
    </row>
    <row r="41" spans="2:28" s="907" customFormat="1" ht="15.75">
      <c r="B41" s="911"/>
      <c r="C41" s="911"/>
      <c r="D41" s="911"/>
      <c r="E41" s="911"/>
      <c r="F41" s="911"/>
      <c r="G41" s="911"/>
      <c r="H41" s="911"/>
      <c r="I41" s="911"/>
      <c r="J41" s="911"/>
      <c r="K41" s="911"/>
      <c r="L41" s="911"/>
      <c r="M41" s="911"/>
      <c r="N41" s="911"/>
      <c r="O41" s="911"/>
      <c r="P41" s="911"/>
      <c r="Q41" s="911"/>
      <c r="R41" s="911"/>
      <c r="S41" s="911"/>
      <c r="T41" s="911"/>
      <c r="U41" s="912"/>
      <c r="V41" s="913"/>
      <c r="W41" s="913"/>
      <c r="X41" s="845"/>
      <c r="Y41" s="845"/>
      <c r="Z41" s="845"/>
      <c r="AA41" s="845"/>
      <c r="AB41" s="910"/>
    </row>
    <row r="42" spans="2:28" s="907" customFormat="1" ht="15.75">
      <c r="B42" s="816"/>
      <c r="C42" s="914"/>
      <c r="D42" s="915"/>
      <c r="E42" s="915"/>
      <c r="F42" s="916"/>
      <c r="G42" s="917"/>
      <c r="H42" s="918"/>
      <c r="I42" s="918"/>
      <c r="J42" s="918"/>
      <c r="K42" s="918"/>
      <c r="L42" s="919"/>
      <c r="M42" s="919"/>
      <c r="N42" s="919"/>
      <c r="O42" s="919"/>
      <c r="P42" s="919"/>
      <c r="Q42" s="919"/>
      <c r="R42" s="919"/>
      <c r="S42" s="919"/>
      <c r="T42" s="916"/>
      <c r="U42" s="821"/>
      <c r="V42" s="821"/>
      <c r="W42" s="821"/>
      <c r="X42" s="821"/>
      <c r="Y42" s="815"/>
      <c r="Z42" s="815"/>
      <c r="AA42" s="815"/>
      <c r="AB42" s="910"/>
    </row>
    <row r="43" spans="2:28" s="907" customFormat="1" ht="15.75">
      <c r="B43" s="816"/>
      <c r="C43" s="920"/>
      <c r="D43" s="918"/>
      <c r="E43" s="918"/>
      <c r="F43" s="916"/>
      <c r="G43" s="917"/>
      <c r="H43" s="918"/>
      <c r="I43" s="918"/>
      <c r="J43" s="918"/>
      <c r="K43" s="918"/>
      <c r="L43" s="921"/>
      <c r="M43" s="921"/>
      <c r="N43" s="921"/>
      <c r="O43" s="921"/>
      <c r="P43" s="921"/>
      <c r="Q43" s="921"/>
      <c r="R43" s="921"/>
      <c r="S43" s="921"/>
      <c r="T43" s="916"/>
      <c r="U43" s="764"/>
      <c r="V43" s="764"/>
      <c r="W43" s="764"/>
      <c r="X43" s="764"/>
      <c r="Y43" s="764"/>
      <c r="Z43" s="922"/>
      <c r="AA43" s="922"/>
      <c r="AB43" s="910"/>
    </row>
    <row r="44" spans="2:28" s="907" customFormat="1" ht="12.75">
      <c r="B44" s="923"/>
      <c r="C44" s="815"/>
      <c r="D44" s="815"/>
      <c r="E44" s="815"/>
      <c r="F44" s="816"/>
      <c r="G44" s="822"/>
      <c r="H44" s="918"/>
      <c r="I44" s="918"/>
      <c r="J44" s="918"/>
      <c r="K44" s="918"/>
      <c r="L44" s="918"/>
      <c r="M44" s="918"/>
      <c r="N44" s="918"/>
      <c r="O44" s="918"/>
      <c r="P44" s="918"/>
      <c r="Q44" s="918"/>
      <c r="R44" s="918"/>
      <c r="S44" s="918"/>
      <c r="T44" s="918"/>
      <c r="U44" s="918"/>
      <c r="V44" s="918"/>
      <c r="W44" s="918"/>
      <c r="X44" s="918"/>
      <c r="Y44" s="918"/>
      <c r="Z44" s="918"/>
      <c r="AA44" s="918"/>
      <c r="AB44" s="910"/>
    </row>
    <row r="45" spans="2:28" s="907" customFormat="1" ht="12.75" customHeight="1">
      <c r="B45" s="827"/>
      <c r="C45" s="823"/>
      <c r="D45" s="918"/>
      <c r="E45" s="918"/>
      <c r="F45" s="918"/>
      <c r="G45" s="924"/>
      <c r="H45" s="924"/>
      <c r="I45" s="916"/>
      <c r="J45" s="816"/>
      <c r="K45" s="925"/>
      <c r="L45" s="916"/>
      <c r="M45" s="916"/>
      <c r="N45" s="916"/>
      <c r="O45" s="916"/>
      <c r="P45" s="916"/>
      <c r="Q45" s="916"/>
      <c r="R45" s="916"/>
      <c r="S45" s="916"/>
      <c r="T45" s="916"/>
      <c r="U45" s="916"/>
      <c r="V45" s="916"/>
      <c r="W45" s="816"/>
      <c r="X45" s="824"/>
      <c r="Y45" s="926"/>
      <c r="Z45" s="926"/>
      <c r="AA45" s="926"/>
      <c r="AB45" s="910"/>
    </row>
    <row r="46" spans="2:28" s="907" customFormat="1" ht="18">
      <c r="B46" s="827"/>
      <c r="C46" s="823"/>
      <c r="D46" s="918"/>
      <c r="E46" s="918"/>
      <c r="F46" s="918"/>
      <c r="G46" s="924"/>
      <c r="H46" s="924"/>
      <c r="I46" s="916"/>
      <c r="J46" s="927"/>
      <c r="K46" s="925"/>
      <c r="L46" s="916"/>
      <c r="M46" s="916"/>
      <c r="N46" s="916"/>
      <c r="O46" s="916"/>
      <c r="P46" s="916"/>
      <c r="Q46" s="916"/>
      <c r="R46" s="916"/>
      <c r="S46" s="916"/>
      <c r="T46" s="916"/>
      <c r="U46" s="916"/>
      <c r="V46" s="916"/>
      <c r="W46" s="918"/>
      <c r="X46" s="926"/>
      <c r="Y46" s="926"/>
      <c r="Z46" s="926"/>
      <c r="AA46" s="926"/>
      <c r="AB46" s="910"/>
    </row>
    <row r="47" spans="2:28" s="907" customFormat="1" ht="12.75">
      <c r="B47" s="928"/>
      <c r="C47" s="815"/>
      <c r="D47" s="918"/>
      <c r="E47" s="918"/>
      <c r="F47" s="918"/>
      <c r="G47" s="825"/>
      <c r="H47" s="929"/>
      <c r="I47" s="929"/>
      <c r="J47" s="929"/>
      <c r="K47" s="929"/>
      <c r="L47" s="929"/>
      <c r="M47" s="929"/>
      <c r="N47" s="929"/>
      <c r="O47" s="929"/>
      <c r="P47" s="929"/>
      <c r="Q47" s="929"/>
      <c r="R47" s="929"/>
      <c r="S47" s="929"/>
      <c r="T47" s="929"/>
      <c r="U47" s="929"/>
      <c r="V47" s="929"/>
      <c r="W47" s="929"/>
      <c r="X47" s="824"/>
      <c r="Y47" s="926"/>
      <c r="Z47" s="926"/>
      <c r="AA47" s="926"/>
      <c r="AB47" s="910"/>
    </row>
    <row r="48" spans="2:28" s="907" customFormat="1" ht="12.75">
      <c r="B48" s="930"/>
      <c r="C48" s="817"/>
      <c r="D48" s="815"/>
      <c r="E48" s="815"/>
      <c r="F48" s="816"/>
      <c r="G48" s="924"/>
      <c r="H48" s="924"/>
      <c r="I48" s="931"/>
      <c r="J48" s="931"/>
      <c r="K48" s="931"/>
      <c r="L48" s="826"/>
      <c r="M48" s="826"/>
      <c r="N48" s="826"/>
      <c r="O48" s="826"/>
      <c r="P48" s="826"/>
      <c r="Q48" s="826"/>
      <c r="R48" s="826"/>
      <c r="S48" s="826"/>
      <c r="T48" s="932"/>
      <c r="U48" s="932"/>
      <c r="V48" s="932"/>
      <c r="W48" s="932"/>
      <c r="X48" s="824"/>
      <c r="Y48" s="824"/>
      <c r="Z48" s="824"/>
      <c r="AA48" s="824"/>
      <c r="AB48" s="910"/>
    </row>
    <row r="49" spans="2:28" s="907" customFormat="1" ht="12.75">
      <c r="B49" s="817"/>
      <c r="C49" s="925"/>
      <c r="D49" s="925"/>
      <c r="E49" s="925"/>
      <c r="F49" s="916"/>
      <c r="G49" s="815"/>
      <c r="H49" s="933"/>
      <c r="I49" s="933"/>
      <c r="J49" s="933"/>
      <c r="K49" s="933"/>
      <c r="L49" s="933"/>
      <c r="M49" s="933"/>
      <c r="N49" s="933"/>
      <c r="O49" s="933"/>
      <c r="P49" s="933"/>
      <c r="Q49" s="933"/>
      <c r="R49" s="933"/>
      <c r="S49" s="933"/>
      <c r="T49" s="918"/>
      <c r="U49" s="918"/>
      <c r="V49" s="918"/>
      <c r="W49" s="918"/>
      <c r="X49" s="824"/>
      <c r="Y49" s="824"/>
      <c r="Z49" s="824"/>
      <c r="AA49" s="824"/>
      <c r="AB49" s="910"/>
    </row>
    <row r="50" spans="2:28" s="907" customFormat="1" ht="12.75">
      <c r="B50" s="817"/>
      <c r="C50" s="820"/>
      <c r="D50" s="820"/>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910"/>
    </row>
    <row r="51" spans="2:28" s="907" customFormat="1" ht="12.75">
      <c r="B51" s="817"/>
      <c r="C51" s="923"/>
      <c r="D51" s="923"/>
      <c r="E51" s="923"/>
      <c r="F51" s="934"/>
      <c r="G51" s="934"/>
      <c r="H51" s="934"/>
      <c r="I51" s="934"/>
      <c r="J51" s="934"/>
      <c r="K51" s="934"/>
      <c r="L51" s="934"/>
      <c r="M51" s="934"/>
      <c r="N51" s="934"/>
      <c r="O51" s="934"/>
      <c r="P51" s="934"/>
      <c r="Q51" s="934"/>
      <c r="R51" s="934"/>
      <c r="S51" s="934"/>
      <c r="T51" s="934"/>
      <c r="U51" s="934"/>
      <c r="V51" s="934"/>
      <c r="W51" s="934"/>
      <c r="X51" s="934"/>
      <c r="Y51" s="934"/>
      <c r="Z51" s="934"/>
      <c r="AA51" s="934"/>
      <c r="AB51" s="910"/>
    </row>
    <row r="52" spans="2:28" s="907" customFormat="1" ht="12.75">
      <c r="B52" s="817"/>
      <c r="C52" s="923"/>
      <c r="D52" s="923"/>
      <c r="E52" s="923"/>
      <c r="F52" s="934"/>
      <c r="G52" s="934"/>
      <c r="H52" s="934"/>
      <c r="I52" s="934"/>
      <c r="J52" s="934"/>
      <c r="K52" s="934"/>
      <c r="L52" s="934"/>
      <c r="M52" s="934"/>
      <c r="N52" s="934"/>
      <c r="O52" s="934"/>
      <c r="P52" s="934"/>
      <c r="Q52" s="934"/>
      <c r="R52" s="934"/>
      <c r="S52" s="934"/>
      <c r="T52" s="934"/>
      <c r="U52" s="934"/>
      <c r="V52" s="934"/>
      <c r="W52" s="934"/>
      <c r="X52" s="934"/>
      <c r="Y52" s="934"/>
      <c r="Z52" s="934"/>
      <c r="AA52" s="934"/>
      <c r="AB52" s="910"/>
    </row>
    <row r="53" spans="2:28" s="907" customFormat="1" ht="12.75">
      <c r="B53" s="817"/>
      <c r="C53" s="923"/>
      <c r="D53" s="923"/>
      <c r="E53" s="923"/>
      <c r="F53" s="934"/>
      <c r="G53" s="934"/>
      <c r="H53" s="934"/>
      <c r="I53" s="934"/>
      <c r="J53" s="934"/>
      <c r="K53" s="934"/>
      <c r="L53" s="934"/>
      <c r="M53" s="934"/>
      <c r="N53" s="934"/>
      <c r="O53" s="934"/>
      <c r="P53" s="934"/>
      <c r="Q53" s="934"/>
      <c r="R53" s="934"/>
      <c r="S53" s="934"/>
      <c r="T53" s="934"/>
      <c r="U53" s="934"/>
      <c r="V53" s="934"/>
      <c r="W53" s="934"/>
      <c r="X53" s="934"/>
      <c r="Y53" s="934"/>
      <c r="Z53" s="934"/>
      <c r="AA53" s="934"/>
      <c r="AB53" s="910"/>
    </row>
    <row r="54" spans="2:28" ht="12.75">
      <c r="B54" s="817"/>
      <c r="C54" s="923"/>
      <c r="D54" s="923"/>
      <c r="E54" s="923"/>
      <c r="F54" s="934"/>
      <c r="G54" s="934"/>
      <c r="H54" s="934"/>
      <c r="I54" s="934"/>
      <c r="J54" s="934"/>
      <c r="K54" s="934"/>
      <c r="L54" s="934"/>
      <c r="M54" s="934"/>
      <c r="N54" s="934"/>
      <c r="O54" s="934"/>
      <c r="P54" s="934"/>
      <c r="Q54" s="934"/>
      <c r="R54" s="934"/>
      <c r="S54" s="934"/>
      <c r="T54" s="934"/>
      <c r="U54" s="934"/>
      <c r="V54" s="934"/>
      <c r="W54" s="934"/>
      <c r="X54" s="934"/>
      <c r="Y54" s="934"/>
      <c r="Z54" s="934"/>
      <c r="AA54" s="934"/>
      <c r="AB54" s="935"/>
    </row>
    <row r="55" spans="2:28" ht="12.75">
      <c r="B55" s="817"/>
      <c r="C55" s="923"/>
      <c r="D55" s="923"/>
      <c r="E55" s="923"/>
      <c r="F55" s="934"/>
      <c r="G55" s="934"/>
      <c r="H55" s="934"/>
      <c r="I55" s="934"/>
      <c r="J55" s="934"/>
      <c r="K55" s="934"/>
      <c r="L55" s="934"/>
      <c r="M55" s="934"/>
      <c r="N55" s="934"/>
      <c r="O55" s="934"/>
      <c r="P55" s="934"/>
      <c r="Q55" s="934"/>
      <c r="R55" s="934"/>
      <c r="S55" s="934"/>
      <c r="T55" s="934"/>
      <c r="U55" s="934"/>
      <c r="V55" s="934"/>
      <c r="W55" s="934"/>
      <c r="X55" s="934"/>
      <c r="Y55" s="934"/>
      <c r="Z55" s="934"/>
      <c r="AA55" s="934"/>
      <c r="AB55" s="935"/>
    </row>
    <row r="56" spans="2:28" ht="12.75">
      <c r="B56" s="817"/>
      <c r="C56" s="923"/>
      <c r="D56" s="923"/>
      <c r="E56" s="923"/>
      <c r="F56" s="934"/>
      <c r="G56" s="934"/>
      <c r="H56" s="934"/>
      <c r="I56" s="934"/>
      <c r="J56" s="934"/>
      <c r="K56" s="934"/>
      <c r="L56" s="934"/>
      <c r="M56" s="934"/>
      <c r="N56" s="934"/>
      <c r="O56" s="934"/>
      <c r="P56" s="934"/>
      <c r="Q56" s="934"/>
      <c r="R56" s="934"/>
      <c r="S56" s="934"/>
      <c r="T56" s="934"/>
      <c r="U56" s="934"/>
      <c r="V56" s="934"/>
      <c r="W56" s="934"/>
      <c r="X56" s="934"/>
      <c r="Y56" s="934"/>
      <c r="Z56" s="934"/>
      <c r="AA56" s="934"/>
      <c r="AB56" s="935"/>
    </row>
    <row r="57" spans="2:28" ht="12.75">
      <c r="B57" s="817"/>
      <c r="C57" s="923"/>
      <c r="D57" s="923"/>
      <c r="E57" s="923"/>
      <c r="F57" s="934"/>
      <c r="G57" s="934"/>
      <c r="H57" s="934"/>
      <c r="I57" s="934"/>
      <c r="J57" s="934"/>
      <c r="K57" s="934"/>
      <c r="L57" s="934"/>
      <c r="M57" s="934"/>
      <c r="N57" s="934"/>
      <c r="O57" s="934"/>
      <c r="P57" s="934"/>
      <c r="Q57" s="934"/>
      <c r="R57" s="934"/>
      <c r="S57" s="934"/>
      <c r="T57" s="934"/>
      <c r="U57" s="934"/>
      <c r="V57" s="934"/>
      <c r="W57" s="934"/>
      <c r="X57" s="934"/>
      <c r="Y57" s="934"/>
      <c r="Z57" s="934"/>
      <c r="AA57" s="934"/>
      <c r="AB57" s="935"/>
    </row>
    <row r="58" spans="2:28" ht="12.75">
      <c r="B58" s="817"/>
      <c r="C58" s="923"/>
      <c r="D58" s="923"/>
      <c r="E58" s="923"/>
      <c r="F58" s="934"/>
      <c r="G58" s="934"/>
      <c r="H58" s="934"/>
      <c r="I58" s="934"/>
      <c r="J58" s="934"/>
      <c r="K58" s="934"/>
      <c r="L58" s="934"/>
      <c r="M58" s="934"/>
      <c r="N58" s="934"/>
      <c r="O58" s="934"/>
      <c r="P58" s="934"/>
      <c r="Q58" s="934"/>
      <c r="R58" s="934"/>
      <c r="S58" s="934"/>
      <c r="T58" s="934"/>
      <c r="U58" s="934"/>
      <c r="V58" s="934"/>
      <c r="W58" s="934"/>
      <c r="X58" s="934"/>
      <c r="Y58" s="934"/>
      <c r="Z58" s="934"/>
      <c r="AA58" s="934"/>
      <c r="AB58" s="935"/>
    </row>
    <row r="59" spans="2:28" ht="12.75">
      <c r="B59" s="817"/>
      <c r="C59" s="923"/>
      <c r="D59" s="934"/>
      <c r="E59" s="934"/>
      <c r="F59" s="934"/>
      <c r="G59" s="934"/>
      <c r="H59" s="934"/>
      <c r="I59" s="934"/>
      <c r="J59" s="934"/>
      <c r="K59" s="934"/>
      <c r="L59" s="934"/>
      <c r="M59" s="934"/>
      <c r="N59" s="934"/>
      <c r="O59" s="934"/>
      <c r="P59" s="934"/>
      <c r="Q59" s="934"/>
      <c r="R59" s="934"/>
      <c r="S59" s="934"/>
      <c r="T59" s="934"/>
      <c r="U59" s="934"/>
      <c r="V59" s="934"/>
      <c r="W59" s="934"/>
      <c r="X59" s="934"/>
      <c r="Y59" s="934"/>
      <c r="Z59" s="934"/>
      <c r="AA59" s="934"/>
      <c r="AB59" s="935"/>
    </row>
    <row r="60" spans="2:28" ht="12.75">
      <c r="B60" s="817"/>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35"/>
    </row>
    <row r="61" spans="2:28" ht="12.75">
      <c r="B61" s="899"/>
      <c r="C61" s="923"/>
      <c r="D61" s="934"/>
      <c r="E61" s="934"/>
      <c r="F61" s="934"/>
      <c r="G61" s="934"/>
      <c r="H61" s="934"/>
      <c r="I61" s="934"/>
      <c r="J61" s="934"/>
      <c r="K61" s="934"/>
      <c r="L61" s="934"/>
      <c r="M61" s="934"/>
      <c r="N61" s="934"/>
      <c r="O61" s="934"/>
      <c r="P61" s="934"/>
      <c r="Q61" s="934"/>
      <c r="R61" s="934"/>
      <c r="S61" s="934"/>
      <c r="T61" s="934"/>
      <c r="U61" s="934"/>
      <c r="V61" s="934"/>
      <c r="W61" s="934"/>
      <c r="X61" s="934"/>
      <c r="Y61" s="934"/>
      <c r="Z61" s="934"/>
      <c r="AA61" s="934"/>
      <c r="AB61" s="935"/>
    </row>
    <row r="62" spans="2:28" ht="12.75">
      <c r="B62" s="899"/>
      <c r="C62" s="814"/>
      <c r="D62" s="899"/>
      <c r="E62" s="899"/>
      <c r="F62" s="899"/>
      <c r="G62" s="899"/>
      <c r="H62" s="899"/>
      <c r="I62" s="899"/>
      <c r="J62" s="899"/>
      <c r="K62" s="899"/>
      <c r="L62" s="899"/>
      <c r="M62" s="899"/>
      <c r="N62" s="899"/>
      <c r="O62" s="899"/>
      <c r="P62" s="899"/>
      <c r="Q62" s="899"/>
      <c r="R62" s="899"/>
      <c r="S62" s="899"/>
      <c r="T62" s="899"/>
      <c r="U62" s="814"/>
      <c r="V62" s="899"/>
      <c r="W62" s="814"/>
      <c r="X62" s="814"/>
      <c r="Y62" s="814"/>
      <c r="Z62" s="814"/>
      <c r="AA62" s="814"/>
      <c r="AB62" s="935"/>
    </row>
    <row r="63" spans="2:28" ht="12.75">
      <c r="B63" s="923"/>
      <c r="C63" s="899"/>
      <c r="D63" s="899"/>
      <c r="E63" s="899"/>
      <c r="F63" s="899"/>
      <c r="G63" s="899"/>
      <c r="H63" s="899"/>
      <c r="I63" s="899"/>
      <c r="J63" s="899"/>
      <c r="K63" s="899"/>
      <c r="L63" s="899"/>
      <c r="M63" s="899"/>
      <c r="N63" s="899"/>
      <c r="O63" s="899"/>
      <c r="P63" s="899"/>
      <c r="Q63" s="899"/>
      <c r="R63" s="899"/>
      <c r="S63" s="899"/>
      <c r="T63" s="899"/>
      <c r="U63" s="814"/>
      <c r="V63" s="814"/>
      <c r="W63" s="899"/>
      <c r="X63" s="814"/>
      <c r="Y63" s="814"/>
      <c r="Z63" s="814"/>
      <c r="AA63" s="814"/>
      <c r="AB63" s="935"/>
    </row>
    <row r="64" spans="2:28" ht="12.75">
      <c r="B64" s="814"/>
      <c r="C64" s="814"/>
      <c r="D64" s="814"/>
      <c r="E64" s="814"/>
      <c r="F64" s="814"/>
      <c r="G64" s="814"/>
      <c r="H64" s="814"/>
      <c r="I64" s="814"/>
      <c r="J64" s="814"/>
      <c r="K64" s="814"/>
      <c r="L64" s="814"/>
      <c r="M64" s="814"/>
      <c r="N64" s="814"/>
      <c r="O64" s="814"/>
      <c r="P64" s="814"/>
      <c r="Q64" s="814"/>
      <c r="R64" s="814"/>
      <c r="S64" s="814"/>
      <c r="T64" s="814"/>
      <c r="U64" s="814"/>
      <c r="V64" s="814"/>
      <c r="W64" s="814"/>
      <c r="X64" s="814"/>
      <c r="Y64" s="814"/>
      <c r="Z64" s="814"/>
      <c r="AA64" s="814"/>
      <c r="AB64" s="935"/>
    </row>
    <row r="65" spans="2:28" ht="12.75">
      <c r="B65" s="814"/>
      <c r="C65" s="1502"/>
      <c r="D65" s="1503"/>
      <c r="E65" s="1503"/>
      <c r="F65" s="1503"/>
      <c r="G65" s="1503"/>
      <c r="H65" s="1503"/>
      <c r="I65" s="1503"/>
      <c r="J65" s="1503"/>
      <c r="K65" s="1503"/>
      <c r="L65" s="1503"/>
      <c r="M65" s="1503"/>
      <c r="N65" s="1503"/>
      <c r="O65" s="1503"/>
      <c r="P65" s="1503"/>
      <c r="Q65" s="1503"/>
      <c r="R65" s="1503"/>
      <c r="S65" s="1503"/>
      <c r="T65" s="1503"/>
      <c r="U65" s="1503"/>
      <c r="V65" s="1504"/>
      <c r="W65" s="1503"/>
      <c r="X65" s="1503"/>
      <c r="Y65" s="1503"/>
      <c r="Z65" s="1503"/>
      <c r="AA65" s="1503"/>
      <c r="AB65" s="935"/>
    </row>
    <row r="66" spans="2:28" ht="12.75">
      <c r="B66" s="813"/>
      <c r="C66" s="899"/>
      <c r="D66" s="899"/>
      <c r="E66" s="899"/>
      <c r="F66" s="899"/>
      <c r="G66" s="899"/>
      <c r="H66" s="899"/>
      <c r="I66" s="899"/>
      <c r="J66" s="899"/>
      <c r="K66" s="899"/>
      <c r="L66" s="899"/>
      <c r="M66" s="899"/>
      <c r="N66" s="899"/>
      <c r="O66" s="899"/>
      <c r="P66" s="899"/>
      <c r="Q66" s="899"/>
      <c r="R66" s="899"/>
      <c r="S66" s="899"/>
      <c r="T66" s="899"/>
      <c r="U66" s="899"/>
      <c r="V66" s="899"/>
      <c r="W66" s="899"/>
      <c r="X66" s="899"/>
      <c r="Y66" s="899"/>
      <c r="Z66" s="899"/>
      <c r="AA66" s="899"/>
      <c r="AB66" s="935"/>
    </row>
    <row r="67" spans="2:28" ht="12.75">
      <c r="B67" s="899"/>
      <c r="C67" s="899"/>
      <c r="D67" s="899"/>
      <c r="E67" s="899"/>
      <c r="F67" s="899"/>
      <c r="G67" s="899"/>
      <c r="H67" s="899"/>
      <c r="I67" s="899"/>
      <c r="J67" s="899"/>
      <c r="K67" s="899"/>
      <c r="L67" s="899"/>
      <c r="M67" s="899"/>
      <c r="N67" s="899"/>
      <c r="O67" s="899"/>
      <c r="P67" s="899"/>
      <c r="Q67" s="899"/>
      <c r="R67" s="899"/>
      <c r="S67" s="899"/>
      <c r="T67" s="899"/>
      <c r="U67" s="899"/>
      <c r="V67" s="899"/>
      <c r="W67" s="899"/>
      <c r="X67" s="899"/>
      <c r="Y67" s="899"/>
      <c r="Z67" s="899"/>
      <c r="AA67" s="899"/>
      <c r="AB67" s="935"/>
    </row>
    <row r="68" spans="2:28" ht="12.75">
      <c r="B68" s="899"/>
      <c r="C68" s="899"/>
      <c r="D68" s="899"/>
      <c r="E68" s="899"/>
      <c r="F68" s="899"/>
      <c r="G68" s="899"/>
      <c r="H68" s="899"/>
      <c r="I68" s="899"/>
      <c r="J68" s="899"/>
      <c r="K68" s="899"/>
      <c r="L68" s="899"/>
      <c r="M68" s="899"/>
      <c r="N68" s="899"/>
      <c r="O68" s="899"/>
      <c r="P68" s="899"/>
      <c r="Q68" s="899"/>
      <c r="R68" s="899"/>
      <c r="S68" s="899"/>
      <c r="T68" s="899"/>
      <c r="U68" s="899"/>
      <c r="V68" s="899"/>
      <c r="W68" s="899"/>
      <c r="X68" s="899"/>
      <c r="Y68" s="899"/>
      <c r="Z68" s="899"/>
      <c r="AA68" s="899"/>
      <c r="AB68" s="935"/>
    </row>
    <row r="69" spans="2:28" ht="12.75">
      <c r="B69" s="899"/>
      <c r="C69" s="899"/>
      <c r="D69" s="899"/>
      <c r="E69" s="899"/>
      <c r="F69" s="899"/>
      <c r="G69" s="899"/>
      <c r="H69" s="899"/>
      <c r="I69" s="899"/>
      <c r="J69" s="899"/>
      <c r="K69" s="899"/>
      <c r="L69" s="899"/>
      <c r="M69" s="899"/>
      <c r="N69" s="899"/>
      <c r="O69" s="899"/>
      <c r="P69" s="899"/>
      <c r="Q69" s="899"/>
      <c r="R69" s="899"/>
      <c r="S69" s="899"/>
      <c r="T69" s="899"/>
      <c r="U69" s="899"/>
      <c r="V69" s="899"/>
      <c r="W69" s="899"/>
      <c r="X69" s="899"/>
      <c r="Y69" s="899"/>
      <c r="Z69" s="899"/>
      <c r="AA69" s="899"/>
      <c r="AB69" s="935"/>
    </row>
    <row r="70" spans="2:28" ht="12.75">
      <c r="B70" s="936"/>
      <c r="C70" s="936"/>
      <c r="D70" s="936"/>
      <c r="E70" s="936"/>
      <c r="F70" s="936"/>
      <c r="G70" s="936"/>
      <c r="H70" s="936"/>
      <c r="I70" s="936"/>
      <c r="J70" s="936"/>
      <c r="K70" s="936"/>
      <c r="L70" s="936"/>
      <c r="M70" s="936"/>
      <c r="N70" s="936"/>
      <c r="O70" s="936"/>
      <c r="P70" s="936"/>
      <c r="Q70" s="936"/>
      <c r="R70" s="936"/>
      <c r="S70" s="936"/>
      <c r="T70" s="936"/>
      <c r="U70" s="936"/>
      <c r="V70" s="936"/>
      <c r="W70" s="936"/>
      <c r="X70" s="936"/>
      <c r="Y70" s="936"/>
      <c r="Z70" s="936"/>
      <c r="AA70" s="936"/>
      <c r="AB70" s="936"/>
    </row>
    <row r="71" spans="2:28" ht="12.75">
      <c r="B71" s="936"/>
      <c r="C71" s="936"/>
      <c r="D71" s="936"/>
      <c r="E71" s="936"/>
      <c r="F71" s="936"/>
      <c r="G71" s="936"/>
      <c r="H71" s="936"/>
      <c r="I71" s="936"/>
      <c r="J71" s="936"/>
      <c r="K71" s="936"/>
      <c r="L71" s="936"/>
      <c r="M71" s="936"/>
      <c r="N71" s="936"/>
      <c r="O71" s="936"/>
      <c r="P71" s="936"/>
      <c r="Q71" s="936"/>
      <c r="R71" s="936"/>
      <c r="S71" s="936"/>
      <c r="T71" s="936"/>
      <c r="U71" s="936"/>
      <c r="V71" s="936"/>
      <c r="W71" s="936"/>
      <c r="X71" s="936"/>
      <c r="Y71" s="936"/>
      <c r="Z71" s="936"/>
      <c r="AA71" s="936"/>
      <c r="AB71" s="936"/>
    </row>
  </sheetData>
  <sheetProtection/>
  <mergeCells count="118">
    <mergeCell ref="B2:AA3"/>
    <mergeCell ref="B4:AA4"/>
    <mergeCell ref="B5:AA5"/>
    <mergeCell ref="B6:C6"/>
    <mergeCell ref="D6:M6"/>
    <mergeCell ref="N6:Q6"/>
    <mergeCell ref="R6:AA6"/>
    <mergeCell ref="B7:C7"/>
    <mergeCell ref="D7:M7"/>
    <mergeCell ref="N7:Q7"/>
    <mergeCell ref="R7:AA7"/>
    <mergeCell ref="B8:AA8"/>
    <mergeCell ref="B9:E9"/>
    <mergeCell ref="G9:L9"/>
    <mergeCell ref="N9:S9"/>
    <mergeCell ref="U9:AA9"/>
    <mergeCell ref="B10:E10"/>
    <mergeCell ref="G10:L10"/>
    <mergeCell ref="N10:S13"/>
    <mergeCell ref="U10:X10"/>
    <mergeCell ref="Y10:AA14"/>
    <mergeCell ref="B11:E11"/>
    <mergeCell ref="G11:L11"/>
    <mergeCell ref="U11:X11"/>
    <mergeCell ref="B12:E12"/>
    <mergeCell ref="G12:L12"/>
    <mergeCell ref="V12:X12"/>
    <mergeCell ref="B13:E13"/>
    <mergeCell ref="G13:L13"/>
    <mergeCell ref="V13:X13"/>
    <mergeCell ref="B14:B15"/>
    <mergeCell ref="C14:E14"/>
    <mergeCell ref="G14:L14"/>
    <mergeCell ref="N14:S14"/>
    <mergeCell ref="U14:X14"/>
    <mergeCell ref="C15:E15"/>
    <mergeCell ref="G15:L15"/>
    <mergeCell ref="N15:S15"/>
    <mergeCell ref="U15:X15"/>
    <mergeCell ref="Y15:Z15"/>
    <mergeCell ref="C16:E16"/>
    <mergeCell ref="G16:L16"/>
    <mergeCell ref="N16:S16"/>
    <mergeCell ref="U16:X16"/>
    <mergeCell ref="Y16:Z16"/>
    <mergeCell ref="Y17:Z17"/>
    <mergeCell ref="C18:E18"/>
    <mergeCell ref="G18:L18"/>
    <mergeCell ref="N18:S18"/>
    <mergeCell ref="U18:X18"/>
    <mergeCell ref="Y18:Z18"/>
    <mergeCell ref="C17:E17"/>
    <mergeCell ref="G17:L17"/>
    <mergeCell ref="N17:S17"/>
    <mergeCell ref="U17:X17"/>
    <mergeCell ref="Y19:Z19"/>
    <mergeCell ref="C20:E20"/>
    <mergeCell ref="G20:L20"/>
    <mergeCell ref="N20:S20"/>
    <mergeCell ref="U20:X20"/>
    <mergeCell ref="Y20:Z20"/>
    <mergeCell ref="C19:E19"/>
    <mergeCell ref="G19:L19"/>
    <mergeCell ref="N19:S19"/>
    <mergeCell ref="U19:X19"/>
    <mergeCell ref="Y21:Z21"/>
    <mergeCell ref="C22:E22"/>
    <mergeCell ref="G22:L22"/>
    <mergeCell ref="N22:S22"/>
    <mergeCell ref="U22:X22"/>
    <mergeCell ref="Y22:Z22"/>
    <mergeCell ref="C21:E21"/>
    <mergeCell ref="G21:L21"/>
    <mergeCell ref="N21:S21"/>
    <mergeCell ref="U21:X21"/>
    <mergeCell ref="C23:E23"/>
    <mergeCell ref="G23:L23"/>
    <mergeCell ref="N23:S23"/>
    <mergeCell ref="U23:X23"/>
    <mergeCell ref="Y23:Z23"/>
    <mergeCell ref="C24:E24"/>
    <mergeCell ref="F24:F25"/>
    <mergeCell ref="G24:O24"/>
    <mergeCell ref="P24:S24"/>
    <mergeCell ref="T24:T25"/>
    <mergeCell ref="U24:X24"/>
    <mergeCell ref="Y24:Z24"/>
    <mergeCell ref="C25:E25"/>
    <mergeCell ref="G25:O25"/>
    <mergeCell ref="P25:S25"/>
    <mergeCell ref="U25:W25"/>
    <mergeCell ref="Y25:AA25"/>
    <mergeCell ref="B26:E26"/>
    <mergeCell ref="G26:S26"/>
    <mergeCell ref="U26:W26"/>
    <mergeCell ref="Y26:AA26"/>
    <mergeCell ref="B27:AA27"/>
    <mergeCell ref="B28:AA28"/>
    <mergeCell ref="B29:T29"/>
    <mergeCell ref="U29:AA29"/>
    <mergeCell ref="B30:T30"/>
    <mergeCell ref="U30:AA30"/>
    <mergeCell ref="B31:T31"/>
    <mergeCell ref="U31:AA31"/>
    <mergeCell ref="B32:AA32"/>
    <mergeCell ref="B33:AA33"/>
    <mergeCell ref="B34:T34"/>
    <mergeCell ref="U34:AA34"/>
    <mergeCell ref="B35:T35"/>
    <mergeCell ref="U35:AA35"/>
    <mergeCell ref="C65:U65"/>
    <mergeCell ref="V65:AA65"/>
    <mergeCell ref="B36:T36"/>
    <mergeCell ref="U36:AA36"/>
    <mergeCell ref="B37:T37"/>
    <mergeCell ref="U37:AA37"/>
    <mergeCell ref="B38:T38"/>
    <mergeCell ref="U38:AA38"/>
  </mergeCells>
  <printOptions/>
  <pageMargins left="0.7" right="0.7" top="0.75" bottom="0.75" header="0.3" footer="0.3"/>
  <pageSetup fitToHeight="1" fitToWidth="1" horizontalDpi="600" verticalDpi="600" orientation="portrait" scale="69" r:id="rId1"/>
</worksheet>
</file>

<file path=xl/worksheets/sheet15.xml><?xml version="1.0" encoding="utf-8"?>
<worksheet xmlns="http://schemas.openxmlformats.org/spreadsheetml/2006/main" xmlns:r="http://schemas.openxmlformats.org/officeDocument/2006/relationships">
  <dimension ref="A1:J2"/>
  <sheetViews>
    <sheetView zoomScalePageLayoutView="0" workbookViewId="0" topLeftCell="A1">
      <selection activeCell="N12" sqref="N12"/>
    </sheetView>
  </sheetViews>
  <sheetFormatPr defaultColWidth="9.00390625" defaultRowHeight="12.75"/>
  <sheetData>
    <row r="1" spans="1:10" s="958" customFormat="1" ht="15">
      <c r="A1" s="958" t="s">
        <v>411</v>
      </c>
      <c r="J1" s="959" t="s">
        <v>413</v>
      </c>
    </row>
    <row r="2" spans="1:7" s="960" customFormat="1" ht="15">
      <c r="A2" s="1649" t="s">
        <v>412</v>
      </c>
      <c r="B2" s="1650"/>
      <c r="C2" s="1650"/>
      <c r="D2" s="1650"/>
      <c r="E2" s="1650"/>
      <c r="F2" s="1650"/>
      <c r="G2" s="1650"/>
    </row>
  </sheetData>
  <sheetProtection/>
  <mergeCells count="1">
    <mergeCell ref="A2:G2"/>
  </mergeCells>
  <hyperlinks>
    <hyperlink ref="A2" r:id="rId1" display="www.predictedlog.org/join_naca.aspx"/>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EI127"/>
  <sheetViews>
    <sheetView tabSelected="1" zoomScalePageLayoutView="0" workbookViewId="0" topLeftCell="A1">
      <pane xSplit="4" ySplit="9" topLeftCell="E10" activePane="bottomRight" state="frozen"/>
      <selection pane="topLeft" activeCell="A1" sqref="A1"/>
      <selection pane="topRight" activeCell="D1" sqref="D1"/>
      <selection pane="bottomLeft" activeCell="A10" sqref="A10"/>
      <selection pane="bottomRight" activeCell="I4" sqref="I4"/>
    </sheetView>
  </sheetViews>
  <sheetFormatPr defaultColWidth="9.75390625" defaultRowHeight="12.75"/>
  <cols>
    <col min="1" max="1" width="6.00390625" style="0" customWidth="1"/>
    <col min="2" max="2" width="4.875" style="0" customWidth="1"/>
    <col min="3" max="3" width="2.875" style="0" customWidth="1"/>
    <col min="4" max="4" width="21.875" style="0" customWidth="1"/>
    <col min="5" max="5" width="6.625" style="53" customWidth="1"/>
    <col min="6" max="6" width="20.00390625" style="69" customWidth="1"/>
    <col min="7" max="7" width="17.875" style="47" customWidth="1"/>
    <col min="8" max="8" width="18.625" style="3" customWidth="1"/>
    <col min="9" max="9" width="9.625" style="0" customWidth="1"/>
    <col min="10" max="10" width="8.00390625" style="0" customWidth="1"/>
    <col min="11" max="11" width="6.00390625" style="743" customWidth="1"/>
    <col min="12" max="12" width="4.625" style="696" customWidth="1"/>
    <col min="13" max="13" width="3.75390625" style="696" customWidth="1"/>
    <col min="14" max="14" width="4.75390625" style="696" customWidth="1"/>
    <col min="15" max="15" width="5.00390625" style="696" customWidth="1"/>
    <col min="16" max="16" width="3.50390625" style="721" customWidth="1"/>
    <col min="17" max="17" width="7.00390625" style="53" customWidth="1"/>
    <col min="18" max="18" width="6.625" style="249" customWidth="1"/>
    <col min="19" max="20" width="6.00390625" style="0" customWidth="1"/>
    <col min="21" max="21" width="5.625" style="0" customWidth="1"/>
    <col min="22" max="22" width="4.375" style="0" customWidth="1"/>
    <col min="23" max="23" width="5.125" style="0" customWidth="1"/>
    <col min="24" max="24" width="9.00390625" style="0" customWidth="1"/>
    <col min="25" max="25" width="8.625" style="0" customWidth="1"/>
    <col min="26" max="26" width="7.50390625" style="271" customWidth="1"/>
    <col min="27" max="27" width="3.75390625" style="3" customWidth="1"/>
    <col min="28" max="28" width="5.50390625" style="98" customWidth="1"/>
    <col min="29" max="29" width="5.75390625" style="98" customWidth="1"/>
    <col min="30" max="30" width="6.50390625" style="47" customWidth="1"/>
    <col min="31" max="31" width="6.375" style="3" customWidth="1"/>
    <col min="32" max="32" width="6.50390625" style="3" customWidth="1"/>
    <col min="33" max="33" width="7.625" style="47" customWidth="1"/>
    <col min="34" max="34" width="10.00390625" style="818" customWidth="1"/>
    <col min="35" max="35" width="9.625" style="3" customWidth="1"/>
    <col min="36" max="36" width="6.375" style="3" customWidth="1"/>
    <col min="37" max="37" width="6.375" style="100" customWidth="1"/>
    <col min="38" max="38" width="6.00390625" style="63" customWidth="1"/>
    <col min="39" max="39" width="7.00390625" style="63" customWidth="1"/>
    <col min="40" max="40" width="8.625" style="56" customWidth="1"/>
    <col min="41" max="41" width="5.875" style="56" customWidth="1"/>
    <col min="42" max="42" width="5.375" style="56" customWidth="1"/>
    <col min="43" max="43" width="5.125" style="56" customWidth="1"/>
    <col min="44" max="44" width="5.375" style="56" customWidth="1"/>
    <col min="45" max="45" width="5.50390625" style="56" customWidth="1"/>
    <col min="46" max="46" width="4.875" style="56" customWidth="1"/>
    <col min="47" max="48" width="6.75390625" style="56" customWidth="1"/>
    <col min="49" max="49" width="6.75390625" style="47" customWidth="1"/>
    <col min="50" max="50" width="5.375" style="0" customWidth="1"/>
    <col min="51" max="51" width="5.625" style="0" customWidth="1"/>
    <col min="52" max="52" width="9.625" style="0" customWidth="1"/>
    <col min="53" max="53" width="9.75390625" style="0" customWidth="1"/>
  </cols>
  <sheetData>
    <row r="1" spans="1:53" s="118" customFormat="1" ht="19.5" customHeight="1" thickBot="1">
      <c r="A1" s="116"/>
      <c r="B1" s="117" t="s">
        <v>19</v>
      </c>
      <c r="C1" s="117"/>
      <c r="D1" s="974" t="s">
        <v>238</v>
      </c>
      <c r="E1" s="353"/>
      <c r="F1" s="471"/>
      <c r="G1" s="459"/>
      <c r="H1" s="460"/>
      <c r="I1" s="385" t="str">
        <f>$D1</f>
        <v>Enter Contest Name</v>
      </c>
      <c r="J1" s="119"/>
      <c r="K1" s="736"/>
      <c r="L1" s="689"/>
      <c r="M1" s="690"/>
      <c r="N1" s="691"/>
      <c r="O1" s="692"/>
      <c r="P1" s="783"/>
      <c r="Q1" s="307"/>
      <c r="R1" s="143" t="s">
        <v>99</v>
      </c>
      <c r="S1" s="119"/>
      <c r="T1" s="119"/>
      <c r="U1" s="119"/>
      <c r="V1" s="438"/>
      <c r="W1" s="385" t="str">
        <f>$D1</f>
        <v>Enter Contest Name</v>
      </c>
      <c r="X1" s="131"/>
      <c r="Y1" s="115"/>
      <c r="Z1" s="794"/>
      <c r="AA1" s="795"/>
      <c r="AB1" s="796"/>
      <c r="AC1" s="143" t="s">
        <v>293</v>
      </c>
      <c r="AD1" s="795"/>
      <c r="AE1" s="797"/>
      <c r="AF1" s="798"/>
      <c r="AG1" s="443" t="str">
        <f>$D1</f>
        <v>Enter Contest Name</v>
      </c>
      <c r="AH1" s="828"/>
      <c r="AI1" s="444"/>
      <c r="AJ1" s="723"/>
      <c r="AK1" s="723"/>
      <c r="AL1" s="723"/>
      <c r="AM1" s="445"/>
      <c r="AN1" s="80" t="s">
        <v>157</v>
      </c>
      <c r="AO1" s="80"/>
      <c r="AP1" s="80"/>
      <c r="AQ1" s="80"/>
      <c r="AR1" s="81"/>
      <c r="AS1" s="81"/>
      <c r="AT1" s="82"/>
      <c r="AU1" s="80" t="s">
        <v>83</v>
      </c>
      <c r="AV1" s="81"/>
      <c r="AW1" s="49"/>
      <c r="AX1" s="212"/>
      <c r="AY1" s="120"/>
      <c r="AZ1" s="120"/>
      <c r="BA1" s="120"/>
    </row>
    <row r="2" spans="1:53" ht="16.5" thickBot="1">
      <c r="A2" s="975" t="s">
        <v>287</v>
      </c>
      <c r="B2" s="976"/>
      <c r="C2" s="976"/>
      <c r="D2" s="977" t="s">
        <v>288</v>
      </c>
      <c r="E2" s="309"/>
      <c r="F2" s="978" t="s">
        <v>231</v>
      </c>
      <c r="G2" s="980" t="s">
        <v>289</v>
      </c>
      <c r="H2" s="984" t="s">
        <v>232</v>
      </c>
      <c r="I2" s="9" t="s">
        <v>95</v>
      </c>
      <c r="J2" s="977" t="s">
        <v>399</v>
      </c>
      <c r="K2" s="14"/>
      <c r="L2" s="693"/>
      <c r="M2" s="694" t="s">
        <v>197</v>
      </c>
      <c r="N2" s="695"/>
      <c r="O2" s="695"/>
      <c r="P2" s="784" t="s">
        <v>76</v>
      </c>
      <c r="Q2" s="308" t="s">
        <v>94</v>
      </c>
      <c r="R2" s="988">
        <v>3</v>
      </c>
      <c r="S2" s="8"/>
      <c r="T2" s="85" t="s">
        <v>93</v>
      </c>
      <c r="U2" s="65"/>
      <c r="V2" s="65"/>
      <c r="W2" s="127"/>
      <c r="X2" s="133" t="s">
        <v>92</v>
      </c>
      <c r="Y2" s="282"/>
      <c r="Z2" s="404"/>
      <c r="AA2" s="27"/>
      <c r="AB2" s="556"/>
      <c r="AC2" s="556"/>
      <c r="AD2" s="27"/>
      <c r="AE2" s="27"/>
      <c r="AF2" s="27" t="str">
        <f>J2</f>
        <v>xx/xx/xx</v>
      </c>
      <c r="AG2" s="4"/>
      <c r="AH2" s="829"/>
      <c r="AI2" s="537"/>
      <c r="AJ2" s="5"/>
      <c r="AK2" s="5"/>
      <c r="AL2" s="167"/>
      <c r="AM2" s="834" t="s">
        <v>75</v>
      </c>
      <c r="AN2" s="91" t="s">
        <v>20</v>
      </c>
      <c r="AO2" s="91"/>
      <c r="AP2" s="91"/>
      <c r="AQ2" s="91"/>
      <c r="AR2" s="70"/>
      <c r="AS2" s="70"/>
      <c r="AT2" s="72"/>
      <c r="AU2" s="70"/>
      <c r="AV2" s="70"/>
      <c r="AW2" s="49"/>
      <c r="AX2" s="218" t="s">
        <v>111</v>
      </c>
      <c r="AY2" s="528"/>
      <c r="AZ2" s="167"/>
      <c r="BA2" s="167"/>
    </row>
    <row r="3" spans="1:53" ht="13.5" thickBot="1">
      <c r="A3" s="999" t="s">
        <v>239</v>
      </c>
      <c r="B3" s="8"/>
      <c r="C3" s="8"/>
      <c r="D3" s="9" t="s">
        <v>91</v>
      </c>
      <c r="E3" s="314"/>
      <c r="F3" s="979"/>
      <c r="G3" s="981" t="s">
        <v>237</v>
      </c>
      <c r="H3" s="27"/>
      <c r="I3" s="440" t="s">
        <v>152</v>
      </c>
      <c r="J3" s="619" t="s">
        <v>22</v>
      </c>
      <c r="K3" s="14" t="s">
        <v>153</v>
      </c>
      <c r="L3" s="693"/>
      <c r="M3" s="1031" t="str">
        <f>IF(P3&gt;0,"ERROR=","Cruise to Slow =")</f>
        <v>Cruise to Slow =</v>
      </c>
      <c r="N3" s="1032"/>
      <c r="O3" s="1033"/>
      <c r="P3" s="986">
        <v>-2</v>
      </c>
      <c r="Q3" s="313" t="s">
        <v>23</v>
      </c>
      <c r="R3" s="989"/>
      <c r="S3" s="477" t="s">
        <v>201</v>
      </c>
      <c r="T3" s="85" t="s">
        <v>71</v>
      </c>
      <c r="U3" s="65" t="s">
        <v>199</v>
      </c>
      <c r="V3" s="65"/>
      <c r="W3" s="128" t="s">
        <v>90</v>
      </c>
      <c r="X3" s="132" t="s">
        <v>72</v>
      </c>
      <c r="Y3" s="132" t="s">
        <v>73</v>
      </c>
      <c r="Z3" s="405"/>
      <c r="AA3" s="27"/>
      <c r="AB3" s="556"/>
      <c r="AC3" s="556"/>
      <c r="AD3" s="27"/>
      <c r="AE3" s="27"/>
      <c r="AF3" s="27"/>
      <c r="AG3" s="7"/>
      <c r="AH3" s="518"/>
      <c r="AI3" s="27"/>
      <c r="AJ3" s="27"/>
      <c r="AK3" s="27"/>
      <c r="AL3" s="27"/>
      <c r="AM3" s="27"/>
      <c r="AN3" s="92" t="s">
        <v>79</v>
      </c>
      <c r="AO3" s="92"/>
      <c r="AP3" s="92"/>
      <c r="AQ3" s="92"/>
      <c r="AR3" s="70"/>
      <c r="AS3" s="70"/>
      <c r="AT3" s="70"/>
      <c r="AU3" s="70"/>
      <c r="AV3" s="70"/>
      <c r="AW3" s="49"/>
      <c r="AX3" s="213" t="s">
        <v>154</v>
      </c>
      <c r="AY3" s="529"/>
      <c r="AZ3" s="3"/>
      <c r="BA3" s="3"/>
    </row>
    <row r="4" spans="1:53" ht="16.5" thickBot="1">
      <c r="A4" s="975" t="s">
        <v>230</v>
      </c>
      <c r="B4" s="976"/>
      <c r="C4" s="976"/>
      <c r="D4" s="13"/>
      <c r="E4" s="314"/>
      <c r="F4" s="982" t="s">
        <v>290</v>
      </c>
      <c r="G4" s="983" t="s">
        <v>291</v>
      </c>
      <c r="H4" s="13" t="s">
        <v>169</v>
      </c>
      <c r="I4" s="977">
        <v>2000</v>
      </c>
      <c r="J4" s="985">
        <v>10</v>
      </c>
      <c r="K4" s="737">
        <f>I4</f>
        <v>2000</v>
      </c>
      <c r="L4" s="693"/>
      <c r="M4" s="1034" t="s">
        <v>198</v>
      </c>
      <c r="N4" s="1035"/>
      <c r="O4" s="1036"/>
      <c r="P4" s="987">
        <v>2</v>
      </c>
      <c r="Q4" s="616" t="s">
        <v>25</v>
      </c>
      <c r="R4" s="989">
        <v>5</v>
      </c>
      <c r="S4" s="990">
        <v>6</v>
      </c>
      <c r="T4" s="622">
        <f>3600/J4</f>
        <v>360</v>
      </c>
      <c r="U4" s="441">
        <f>2025/T4</f>
        <v>5.625</v>
      </c>
      <c r="V4" s="5"/>
      <c r="W4" s="792"/>
      <c r="X4" s="125">
        <f>I4*1.1</f>
        <v>2200</v>
      </c>
      <c r="Y4" s="283">
        <f>I4*0.9</f>
        <v>1800</v>
      </c>
      <c r="Z4" s="404"/>
      <c r="AA4" s="27"/>
      <c r="AB4" s="556"/>
      <c r="AC4" s="556"/>
      <c r="AD4" s="27"/>
      <c r="AE4" s="27"/>
      <c r="AF4" s="27"/>
      <c r="AG4" s="7"/>
      <c r="AH4" s="518"/>
      <c r="AI4" s="27"/>
      <c r="AJ4" s="27"/>
      <c r="AK4" s="835" t="s">
        <v>75</v>
      </c>
      <c r="AL4" s="27"/>
      <c r="AM4" s="27"/>
      <c r="AN4" s="93" t="s">
        <v>24</v>
      </c>
      <c r="AO4" s="93"/>
      <c r="AP4" s="93"/>
      <c r="AQ4" s="93"/>
      <c r="AR4" s="70"/>
      <c r="AS4" s="73"/>
      <c r="AT4" s="72"/>
      <c r="AU4" s="70"/>
      <c r="AV4" s="70"/>
      <c r="AW4" s="49"/>
      <c r="AX4" s="107"/>
      <c r="AY4" s="2"/>
      <c r="AZ4" s="3"/>
      <c r="BA4" s="3"/>
    </row>
    <row r="5" spans="1:53" ht="16.5" thickBot="1">
      <c r="A5" s="975" t="s">
        <v>292</v>
      </c>
      <c r="B5" s="976"/>
      <c r="C5" s="976"/>
      <c r="D5" s="1000"/>
      <c r="E5" s="314"/>
      <c r="F5" s="169"/>
      <c r="G5" s="461"/>
      <c r="H5" s="517" t="s">
        <v>204</v>
      </c>
      <c r="I5" s="977">
        <v>1000</v>
      </c>
      <c r="J5" s="985">
        <v>7</v>
      </c>
      <c r="K5" s="737">
        <f>I5</f>
        <v>1000</v>
      </c>
      <c r="L5" s="693"/>
      <c r="M5" s="697"/>
      <c r="N5" s="698"/>
      <c r="O5" s="698"/>
      <c r="P5" s="785"/>
      <c r="Q5" s="315" t="s">
        <v>155</v>
      </c>
      <c r="R5" s="1006" t="s">
        <v>434</v>
      </c>
      <c r="S5" s="12"/>
      <c r="T5" s="623">
        <f>3600/J5</f>
        <v>514.2857142857143</v>
      </c>
      <c r="U5" s="442">
        <f>2025/T5</f>
        <v>3.9374999999999996</v>
      </c>
      <c r="V5" s="34"/>
      <c r="W5" s="793"/>
      <c r="X5" s="423">
        <f>I5*1.1</f>
        <v>1100</v>
      </c>
      <c r="Y5" s="424">
        <f>I5*0.9</f>
        <v>900</v>
      </c>
      <c r="Z5" s="126"/>
      <c r="AA5" s="65"/>
      <c r="AB5" s="577" t="s">
        <v>27</v>
      </c>
      <c r="AC5" s="578"/>
      <c r="AD5" s="65"/>
      <c r="AE5" s="65"/>
      <c r="AF5" s="65"/>
      <c r="AG5" s="446" t="s">
        <v>87</v>
      </c>
      <c r="AH5" s="830"/>
      <c r="AI5" s="447"/>
      <c r="AJ5" s="447"/>
      <c r="AK5" s="448"/>
      <c r="AL5" s="448"/>
      <c r="AM5" s="448"/>
      <c r="AN5" s="92" t="s">
        <v>26</v>
      </c>
      <c r="AO5" s="92"/>
      <c r="AP5" s="92"/>
      <c r="AQ5" s="92"/>
      <c r="AR5" s="71"/>
      <c r="AS5" s="70"/>
      <c r="AT5" s="70"/>
      <c r="AU5" s="70"/>
      <c r="AV5" s="70"/>
      <c r="AW5" s="49"/>
      <c r="AX5" s="107"/>
      <c r="AY5" s="2"/>
      <c r="AZ5" s="3"/>
      <c r="BA5" s="3"/>
    </row>
    <row r="6" spans="1:53" ht="13.5" thickBot="1">
      <c r="A6" s="85" t="s">
        <v>108</v>
      </c>
      <c r="B6" s="998" t="s">
        <v>400</v>
      </c>
      <c r="C6" s="142"/>
      <c r="D6" s="1001"/>
      <c r="E6" s="1002"/>
      <c r="F6" s="1003"/>
      <c r="G6" s="1004"/>
      <c r="H6" s="1005"/>
      <c r="I6" s="991" t="s">
        <v>161</v>
      </c>
      <c r="J6" s="992" t="s">
        <v>216</v>
      </c>
      <c r="K6" s="993"/>
      <c r="L6" s="994"/>
      <c r="M6" s="994"/>
      <c r="N6" s="995"/>
      <c r="O6" s="996"/>
      <c r="P6" s="997"/>
      <c r="Q6" s="309"/>
      <c r="R6" s="8"/>
      <c r="S6" s="8"/>
      <c r="T6" s="8"/>
      <c r="U6" s="8"/>
      <c r="V6" s="8"/>
      <c r="W6" s="10"/>
      <c r="X6" s="10"/>
      <c r="Y6" s="10"/>
      <c r="Z6" s="404"/>
      <c r="AA6" s="27"/>
      <c r="AB6" s="556"/>
      <c r="AC6" s="556"/>
      <c r="AD6" s="27"/>
      <c r="AE6" s="27"/>
      <c r="AF6" s="27"/>
      <c r="AG6" s="26"/>
      <c r="AH6" s="518"/>
      <c r="AI6" s="27"/>
      <c r="AJ6" s="27"/>
      <c r="AK6" s="11"/>
      <c r="AL6" s="59"/>
      <c r="AM6" s="7" t="s">
        <v>69</v>
      </c>
      <c r="AN6" s="94" t="s">
        <v>84</v>
      </c>
      <c r="AO6" s="94"/>
      <c r="AP6" s="94"/>
      <c r="AQ6" s="94"/>
      <c r="AR6" s="70"/>
      <c r="AS6" s="76" t="s">
        <v>85</v>
      </c>
      <c r="AT6" s="72"/>
      <c r="AU6" s="96" t="s">
        <v>88</v>
      </c>
      <c r="AV6" s="70"/>
      <c r="AW6" s="454" t="s">
        <v>89</v>
      </c>
      <c r="AX6" s="107"/>
      <c r="AY6" s="2"/>
      <c r="AZ6" s="3"/>
      <c r="BA6" s="3"/>
    </row>
    <row r="7" spans="1:53" ht="13.5" thickBot="1">
      <c r="A7" s="957" t="s">
        <v>194</v>
      </c>
      <c r="B7" s="998" t="s">
        <v>408</v>
      </c>
      <c r="C7" s="15"/>
      <c r="D7" s="762" t="s">
        <v>219</v>
      </c>
      <c r="E7" s="355" t="s">
        <v>166</v>
      </c>
      <c r="F7" s="458" t="s">
        <v>195</v>
      </c>
      <c r="G7" s="457" t="s">
        <v>196</v>
      </c>
      <c r="H7" s="501" t="s">
        <v>193</v>
      </c>
      <c r="I7" s="502"/>
      <c r="J7" s="110" t="s">
        <v>77</v>
      </c>
      <c r="K7" s="738"/>
      <c r="L7" s="700" t="s">
        <v>29</v>
      </c>
      <c r="M7" s="700"/>
      <c r="N7" s="701"/>
      <c r="O7" s="703" t="s">
        <v>52</v>
      </c>
      <c r="P7" s="807" t="s">
        <v>158</v>
      </c>
      <c r="Q7" s="42" t="s">
        <v>30</v>
      </c>
      <c r="R7" s="44" t="s">
        <v>22</v>
      </c>
      <c r="S7" s="108" t="s">
        <v>31</v>
      </c>
      <c r="T7" s="281"/>
      <c r="U7" s="109"/>
      <c r="V7" s="109"/>
      <c r="W7" s="110"/>
      <c r="X7" s="17" t="s">
        <v>32</v>
      </c>
      <c r="Y7" s="44" t="s">
        <v>33</v>
      </c>
      <c r="Z7" s="406" t="s">
        <v>164</v>
      </c>
      <c r="AA7" s="84" t="s">
        <v>34</v>
      </c>
      <c r="AB7" s="579" t="s">
        <v>35</v>
      </c>
      <c r="AC7" s="580" t="s">
        <v>36</v>
      </c>
      <c r="AD7" s="18" t="s">
        <v>37</v>
      </c>
      <c r="AE7" s="19"/>
      <c r="AF7" s="44" t="s">
        <v>38</v>
      </c>
      <c r="AG7" s="304" t="s">
        <v>39</v>
      </c>
      <c r="AH7" s="137" t="s">
        <v>294</v>
      </c>
      <c r="AI7" s="137" t="s">
        <v>40</v>
      </c>
      <c r="AJ7" s="284" t="s">
        <v>41</v>
      </c>
      <c r="AK7" s="285" t="s">
        <v>42</v>
      </c>
      <c r="AL7" s="286" t="s">
        <v>68</v>
      </c>
      <c r="AM7" s="286" t="s">
        <v>66</v>
      </c>
      <c r="AN7" s="95" t="s">
        <v>86</v>
      </c>
      <c r="AO7" s="95"/>
      <c r="AP7" s="95"/>
      <c r="AQ7" s="95"/>
      <c r="AR7" s="71"/>
      <c r="AS7" s="70"/>
      <c r="AT7" s="70"/>
      <c r="AU7" s="70"/>
      <c r="AV7" s="70"/>
      <c r="AW7" s="49"/>
      <c r="AX7" s="107"/>
      <c r="AY7" s="2"/>
      <c r="AZ7" s="3"/>
      <c r="BA7" s="3"/>
    </row>
    <row r="8" spans="1:53" ht="12.75" customHeight="1" thickBot="1">
      <c r="A8" s="956" t="s">
        <v>43</v>
      </c>
      <c r="B8" s="145" t="s">
        <v>34</v>
      </c>
      <c r="C8" s="146" t="s">
        <v>112</v>
      </c>
      <c r="D8" s="144" t="s">
        <v>44</v>
      </c>
      <c r="E8" s="354" t="s">
        <v>167</v>
      </c>
      <c r="F8" s="628"/>
      <c r="G8" s="629"/>
      <c r="H8" s="630"/>
      <c r="I8" s="111" t="s">
        <v>45</v>
      </c>
      <c r="J8" s="539" t="s">
        <v>46</v>
      </c>
      <c r="K8" s="575" t="s">
        <v>47</v>
      </c>
      <c r="L8" s="702" t="s">
        <v>48</v>
      </c>
      <c r="M8" s="703" t="s">
        <v>192</v>
      </c>
      <c r="N8" s="704" t="s">
        <v>74</v>
      </c>
      <c r="O8" s="972" t="s">
        <v>159</v>
      </c>
      <c r="P8" s="973" t="s">
        <v>192</v>
      </c>
      <c r="Q8" s="43" t="s">
        <v>49</v>
      </c>
      <c r="R8" s="83" t="s">
        <v>50</v>
      </c>
      <c r="S8" s="111" t="s">
        <v>51</v>
      </c>
      <c r="T8" s="21" t="s">
        <v>229</v>
      </c>
      <c r="U8" s="21" t="s">
        <v>53</v>
      </c>
      <c r="V8" s="83" t="s">
        <v>97</v>
      </c>
      <c r="W8" s="22" t="s">
        <v>34</v>
      </c>
      <c r="X8" s="21" t="s">
        <v>54</v>
      </c>
      <c r="Y8" s="83" t="s">
        <v>54</v>
      </c>
      <c r="Z8" s="407" t="s">
        <v>160</v>
      </c>
      <c r="AA8" s="413"/>
      <c r="AB8" s="581" t="s">
        <v>47</v>
      </c>
      <c r="AC8" s="582" t="s">
        <v>50</v>
      </c>
      <c r="AD8" s="20" t="s">
        <v>50</v>
      </c>
      <c r="AE8" s="21" t="s">
        <v>71</v>
      </c>
      <c r="AF8" s="83" t="s">
        <v>71</v>
      </c>
      <c r="AG8" s="304" t="s">
        <v>55</v>
      </c>
      <c r="AH8" s="833" t="s">
        <v>295</v>
      </c>
      <c r="AI8" s="58" t="s">
        <v>56</v>
      </c>
      <c r="AJ8" s="287" t="s">
        <v>57</v>
      </c>
      <c r="AK8" s="288" t="s">
        <v>53</v>
      </c>
      <c r="AL8" s="286" t="s">
        <v>53</v>
      </c>
      <c r="AM8" s="286" t="s">
        <v>41</v>
      </c>
      <c r="AN8" s="153"/>
      <c r="AO8" s="776" t="s">
        <v>52</v>
      </c>
      <c r="AP8" s="777" t="s">
        <v>233</v>
      </c>
      <c r="AQ8" s="777"/>
      <c r="AR8" s="778" t="s">
        <v>234</v>
      </c>
      <c r="AS8" s="779"/>
      <c r="AT8" s="476"/>
      <c r="AU8" s="209"/>
      <c r="AV8" s="209"/>
      <c r="AW8" s="455"/>
      <c r="AX8" s="276"/>
      <c r="AY8" s="276"/>
      <c r="AZ8" s="156" t="s">
        <v>109</v>
      </c>
      <c r="BA8" s="160" t="s">
        <v>56</v>
      </c>
    </row>
    <row r="9" spans="1:53" s="38" customFormat="1" ht="13.5" thickTop="1">
      <c r="A9" s="289" t="s">
        <v>58</v>
      </c>
      <c r="B9" s="14">
        <v>0</v>
      </c>
      <c r="C9" s="27"/>
      <c r="D9" s="1651" t="s">
        <v>419</v>
      </c>
      <c r="E9" s="504"/>
      <c r="F9" s="541"/>
      <c r="G9" s="542"/>
      <c r="H9" s="543"/>
      <c r="I9" s="1011"/>
      <c r="J9" s="1012"/>
      <c r="K9" s="14"/>
      <c r="L9" s="705"/>
      <c r="M9" s="969"/>
      <c r="N9" s="706"/>
      <c r="O9" s="970"/>
      <c r="P9" s="806"/>
      <c r="Q9" s="292"/>
      <c r="R9" s="971"/>
      <c r="S9" s="293"/>
      <c r="T9" s="290" t="s">
        <v>163</v>
      </c>
      <c r="U9" s="290"/>
      <c r="V9" s="291"/>
      <c r="W9" s="294"/>
      <c r="X9" s="290"/>
      <c r="Y9" s="295">
        <f>TIMEVALUE(R5)-TIMEVALUE(X82)</f>
        <v>0.5239697588777777</v>
      </c>
      <c r="Z9" s="408"/>
      <c r="AA9" s="291"/>
      <c r="AB9" s="583"/>
      <c r="AC9" s="558"/>
      <c r="AD9" s="296"/>
      <c r="AE9" s="290"/>
      <c r="AF9" s="291"/>
      <c r="AG9" s="1721"/>
      <c r="AH9" s="837"/>
      <c r="AI9" s="290"/>
      <c r="AJ9" s="290"/>
      <c r="AK9" s="294" t="s">
        <v>65</v>
      </c>
      <c r="AL9" s="87" t="s">
        <v>65</v>
      </c>
      <c r="AM9" s="87" t="s">
        <v>67</v>
      </c>
      <c r="AN9" s="154"/>
      <c r="AO9" s="297" t="s">
        <v>235</v>
      </c>
      <c r="AP9" s="780" t="s">
        <v>236</v>
      </c>
      <c r="AQ9" s="297" t="s">
        <v>103</v>
      </c>
      <c r="AR9" s="781" t="s">
        <v>236</v>
      </c>
      <c r="AS9" s="782" t="s">
        <v>103</v>
      </c>
      <c r="AT9" s="472"/>
      <c r="AU9" s="298" t="s">
        <v>156</v>
      </c>
      <c r="AV9" s="299"/>
      <c r="AW9" s="456"/>
      <c r="AX9" s="300" t="s">
        <v>214</v>
      </c>
      <c r="AY9" s="300" t="s">
        <v>215</v>
      </c>
      <c r="AZ9" s="155" t="s">
        <v>110</v>
      </c>
      <c r="BA9" s="301"/>
    </row>
    <row r="10" spans="1:53" s="249" customFormat="1" ht="12.75" customHeight="1" thickBot="1">
      <c r="A10" s="1013" t="s">
        <v>78</v>
      </c>
      <c r="B10" s="1655">
        <v>1</v>
      </c>
      <c r="C10" s="1656"/>
      <c r="D10" s="1652" t="s">
        <v>420</v>
      </c>
      <c r="E10" s="961">
        <f aca="true" t="shared" si="0" ref="E10:E17">IF(C10="","",X10)</f>
      </c>
      <c r="F10" s="1676"/>
      <c r="G10" s="1677"/>
      <c r="H10" s="1678"/>
      <c r="I10" s="1679"/>
      <c r="J10" s="1680"/>
      <c r="K10" s="1681">
        <v>32.718303</v>
      </c>
      <c r="L10" s="800">
        <f>IF(K10="","",IF(K10&lt;(1-$R$3),360+K10+$R$3,K10+$R$3))</f>
        <v>32.718303</v>
      </c>
      <c r="M10" s="1692"/>
      <c r="N10" s="707">
        <f>IF(K10=0,0,IF(AU10&gt;360,AU10-360,IF(AU10&lt;0,AU10+360,AU10)))</f>
        <v>33</v>
      </c>
      <c r="O10" s="710">
        <v>0</v>
      </c>
      <c r="P10" s="769">
        <f>IF(K10=0,0,IF(AO10&lt;0,AR10,AS10))</f>
        <v>0</v>
      </c>
      <c r="Q10" s="1694">
        <v>0.907198</v>
      </c>
      <c r="R10" s="802">
        <f>IF(A10="SLOW",$J$5,$J$4)</f>
        <v>10</v>
      </c>
      <c r="S10" s="97">
        <f>ROUND(Q10*3600/R10,0)</f>
        <v>327</v>
      </c>
      <c r="T10" s="1696">
        <v>0</v>
      </c>
      <c r="U10" s="467">
        <f>ROUND(AF10*Q10,0)</f>
        <v>0</v>
      </c>
      <c r="V10" s="31">
        <v>0</v>
      </c>
      <c r="W10" s="105">
        <f aca="true" t="shared" si="1" ref="W10:W17">ROUND(S10+T10+U10+V10,0)</f>
        <v>327</v>
      </c>
      <c r="X10" s="23">
        <f aca="true" t="shared" si="2" ref="X10:X18">W10*0.0000115741</f>
        <v>0.0037847307</v>
      </c>
      <c r="Y10" s="32">
        <f aca="true" t="shared" si="3" ref="Y10:Y17">IF(W10=0,0,TIMEVALUE(Y9)+TIMEVALUE(X10))</f>
        <v>0.5277544895777777</v>
      </c>
      <c r="Z10" s="409">
        <f>AVERAGE(Y10,Y9)</f>
        <v>0.5258621242277777</v>
      </c>
      <c r="AA10" s="171">
        <f aca="true" t="shared" si="4" ref="AA10:AA17">B10</f>
        <v>1</v>
      </c>
      <c r="AB10" s="1717"/>
      <c r="AC10" s="1718"/>
      <c r="AD10" s="48">
        <f aca="true" t="shared" si="5" ref="AD10:AD17">(AC10*COS((AB10-K10)/57.29))+SQRT((AC10*COS((AB10-K10)/57.29))*(AC10*COS((AB10-K10)/57.29))-(AC10*AC10)+(R10*R10))</f>
        <v>10</v>
      </c>
      <c r="AE10" s="29">
        <f aca="true" t="shared" si="6" ref="AE10:AE17">3600/AD10</f>
        <v>360</v>
      </c>
      <c r="AF10" s="31">
        <f aca="true" t="shared" si="7" ref="AF10:AF17">AE10-(3600/R10)</f>
        <v>0</v>
      </c>
      <c r="AG10" s="1722"/>
      <c r="AH10" s="838"/>
      <c r="AI10" s="25">
        <f aca="true" t="shared" si="8" ref="AI10:AI17">IF(TIMEVALUE(AG10)=0,0,TIMEVALUE(AG10)-TIMEVALUE(AG9)-TIMEVALUE(AH10))</f>
        <v>0</v>
      </c>
      <c r="AJ10" s="24">
        <f aca="true" t="shared" si="9" ref="AJ10:AJ41">IF(AI10=0,0,+AI10/0.0000115741-W10)</f>
        <v>0</v>
      </c>
      <c r="AK10" s="379">
        <f>IF(AJ10=0,0,+Q10*3600*(1/((AI10/0.0000115741)-T10)-1/S10))</f>
        <v>0</v>
      </c>
      <c r="AL10" s="380">
        <f aca="true" t="shared" si="10" ref="AL10:AL17">IF(A10="SLOW",AD10-$J$5,AD10-$J$4)</f>
        <v>0</v>
      </c>
      <c r="AM10" s="134">
        <f aca="true" t="shared" si="11" ref="AM10:AM41">AJ10/W10*Q10*2025</f>
        <v>0</v>
      </c>
      <c r="AN10" s="452"/>
      <c r="AO10" s="473"/>
      <c r="AP10" s="473"/>
      <c r="AQ10" s="473"/>
      <c r="AR10" s="474">
        <v>0</v>
      </c>
      <c r="AS10" s="474">
        <v>0</v>
      </c>
      <c r="AT10" s="474"/>
      <c r="AU10" s="431">
        <f aca="true" t="shared" si="12" ref="AU10:AU17">ROUND(K10-57.29*ASIN(AC10/R10*SIN((AB10-K10)/57.29))+$R$3+M10,0)</f>
        <v>33</v>
      </c>
      <c r="AV10" s="250"/>
      <c r="AW10" s="267"/>
      <c r="AX10" s="214">
        <v>1</v>
      </c>
      <c r="AY10" s="538">
        <f>INDEX(B$10:B$81,MATCH(1,$C$10:$C$81,0))</f>
        <v>4</v>
      </c>
      <c r="AZ10" s="538">
        <f>INDEX(N$10:N$81,MATCH(1,$C$10:$C$81,0))</f>
        <v>330</v>
      </c>
      <c r="BA10" s="553">
        <f>INDEX(X$10:X$81,MATCH(1,$C$10:$C$81,0))</f>
        <v>0.0039467681</v>
      </c>
    </row>
    <row r="11" spans="1:53" s="249" customFormat="1" ht="13.5" thickBot="1">
      <c r="A11" s="1013" t="s">
        <v>78</v>
      </c>
      <c r="B11" s="1655">
        <v>2</v>
      </c>
      <c r="C11" s="1657"/>
      <c r="D11" s="1652" t="s">
        <v>421</v>
      </c>
      <c r="E11" s="961">
        <f t="shared" si="0"/>
      </c>
      <c r="F11" s="1682"/>
      <c r="G11" s="1683"/>
      <c r="H11" s="1684"/>
      <c r="I11" s="1679"/>
      <c r="J11" s="1685"/>
      <c r="K11" s="1681">
        <v>16.368634</v>
      </c>
      <c r="L11" s="800">
        <f aca="true" t="shared" si="13" ref="L11:L74">IF(K11="","",IF(K11&lt;(1-$R$3),360+K11+$R$3,K11+$R$3))</f>
        <v>16.368634</v>
      </c>
      <c r="M11" s="1693"/>
      <c r="N11" s="707">
        <f>IF(K11=0,0,IF(AU11&gt;360,AU11-360,IF(AU11&lt;0,AU11+360,AU11)))</f>
        <v>16</v>
      </c>
      <c r="O11" s="710">
        <f>IF(K11=0,0,ABS(IF(ABS(N11-N10)&lt;180.1,ABS(N11-N10),(IF(N11-N10&gt;180,(360+N10-N11),(360+N11-N10))))))</f>
        <v>17</v>
      </c>
      <c r="P11" s="799">
        <f>IF(K11=0,0,IF(AO11&lt;0,-AR11,AS11))</f>
        <v>-0.5094281967002431</v>
      </c>
      <c r="Q11" s="1694">
        <v>0.522446</v>
      </c>
      <c r="R11" s="802">
        <f>IF(A11="SLOW",$J$5,$J$4)</f>
        <v>10</v>
      </c>
      <c r="S11" s="97">
        <f>ROUND(Q11*3600/R11,0)</f>
        <v>188</v>
      </c>
      <c r="T11" s="765">
        <f>IF(K11=0,0,IF(AO11&lt;0,AP11,AQ11))</f>
        <v>1</v>
      </c>
      <c r="U11" s="467">
        <f>ROUND(AF11*Q11,0)</f>
        <v>0</v>
      </c>
      <c r="V11" s="31">
        <f aca="true" t="shared" si="14" ref="V11:V17">IF(B11="",0,IF(A11=A10,0,IF(A11="SLOW",P$3,P$4)))</f>
        <v>0</v>
      </c>
      <c r="W11" s="105">
        <f t="shared" si="1"/>
        <v>189</v>
      </c>
      <c r="X11" s="23">
        <f>W11*0.0000115741</f>
        <v>0.0021875049</v>
      </c>
      <c r="Y11" s="32">
        <f>IF(W11=0,0,TIMEVALUE(Y10)+TIMEVALUE(X11))</f>
        <v>0.5299419944777777</v>
      </c>
      <c r="Z11" s="409">
        <f>IF(Y11=0,0,AVERAGE(Y11,Y10))</f>
        <v>0.5288482420277777</v>
      </c>
      <c r="AA11" s="171">
        <f t="shared" si="4"/>
        <v>2</v>
      </c>
      <c r="AB11" s="1717"/>
      <c r="AC11" s="1718"/>
      <c r="AD11" s="48">
        <f t="shared" si="5"/>
        <v>10</v>
      </c>
      <c r="AE11" s="29">
        <f t="shared" si="6"/>
        <v>360</v>
      </c>
      <c r="AF11" s="31">
        <f t="shared" si="7"/>
        <v>0</v>
      </c>
      <c r="AG11" s="1723"/>
      <c r="AH11" s="952"/>
      <c r="AI11" s="25">
        <f t="shared" si="8"/>
        <v>0</v>
      </c>
      <c r="AJ11" s="24">
        <f t="shared" si="9"/>
        <v>0</v>
      </c>
      <c r="AK11" s="379">
        <f aca="true" t="shared" si="15" ref="AK11:AK74">IF(AJ11=0,0,+Q11*3600*(1/((AI11/0.0000115741)-T11)-1/S11))</f>
        <v>0</v>
      </c>
      <c r="AL11" s="380">
        <f t="shared" si="10"/>
        <v>0</v>
      </c>
      <c r="AM11" s="134">
        <f t="shared" si="11"/>
        <v>0</v>
      </c>
      <c r="AN11" s="452"/>
      <c r="AO11" s="474">
        <f aca="true" t="shared" si="16" ref="AO11:AO17">IF(K11=0,0,IF(ABS(N11-N10)&gt;180,IF(N11&gt;N10,N11-N10-360,N11-N10+360),N11-N10))</f>
        <v>-17</v>
      </c>
      <c r="AP11" s="473">
        <f>ROUND(IF(AO11=0,0,(ABS(AO11)*(1/$R$4+0.03333)-(57.3/$R$4)*SIN(ABS(AO11/57.3)))),0)</f>
        <v>1</v>
      </c>
      <c r="AQ11" s="473">
        <f>ROUND(IF(AO11=0,0,(ABS(AO11)*(1/$S$4+0.03333)-(57.3/$S$4)*SIN(ABS(AO11/57.3)))),0)</f>
        <v>1</v>
      </c>
      <c r="AR11" s="474">
        <f>IF(K11="",0,((32.3*$R11/$R$4)*(1-COS(ABS(AO11)/57.3))+2.252*$R11*SIN(ABS(AO11)/57.3))/(2025*TAN($Q11/57.3)))</f>
        <v>0.5094281967002431</v>
      </c>
      <c r="AS11" s="474">
        <f>IF(K11="",0,((32.3*$R11/$S$4)*(1-COS(ABS(AO11)/57.3))+2.252*$R11*SIN(ABS(AO11)/57.3))/(2025*TAN($Q11/57.3)))</f>
        <v>0.4839523821540227</v>
      </c>
      <c r="AT11" s="473"/>
      <c r="AU11" s="431">
        <f t="shared" si="12"/>
        <v>16</v>
      </c>
      <c r="AV11" s="250"/>
      <c r="AW11" s="267"/>
      <c r="AX11" s="214">
        <v>2</v>
      </c>
      <c r="AY11" s="538">
        <f>INDEX(B$10:B$81,MATCH(2,$C$10:$C$81,0))</f>
        <v>7</v>
      </c>
      <c r="AZ11" s="538">
        <f>INDEX(N$10:N$81,MATCH(2,$C$10:$C$81,0))</f>
        <v>135</v>
      </c>
      <c r="BA11" s="483">
        <f>INDEX(X$10:X$81,MATCH(2,$C$10:$C$81,0))</f>
        <v>0.0026273207</v>
      </c>
    </row>
    <row r="12" spans="1:53" s="249" customFormat="1" ht="13.5" customHeight="1" thickBot="1">
      <c r="A12" s="1013" t="s">
        <v>78</v>
      </c>
      <c r="B12" s="1655">
        <v>3</v>
      </c>
      <c r="C12" s="1657"/>
      <c r="D12" s="1652" t="s">
        <v>422</v>
      </c>
      <c r="E12" s="961">
        <f t="shared" si="0"/>
      </c>
      <c r="F12" s="1682"/>
      <c r="G12" s="1683"/>
      <c r="H12" s="1685"/>
      <c r="I12" s="1679"/>
      <c r="J12" s="1686"/>
      <c r="K12" s="1681">
        <v>23.361769</v>
      </c>
      <c r="L12" s="800">
        <f t="shared" si="13"/>
        <v>23.361769</v>
      </c>
      <c r="M12" s="1693"/>
      <c r="N12" s="707">
        <f aca="true" t="shared" si="17" ref="N12:N17">IF(K12=0,0,IF(AU12&gt;360,AU12-360,IF(AU12&lt;0,AU12+360,AU12)))</f>
        <v>23</v>
      </c>
      <c r="O12" s="710">
        <f aca="true" t="shared" si="18" ref="O12:O17">IF(K12=0,0,ABS(IF(ABS(N12-N11)&lt;180.1,ABS(N12-N11),(IF(N12-N11&gt;180,(360+N11-N12),(360+N12-N11))))))</f>
        <v>7</v>
      </c>
      <c r="P12" s="799">
        <f aca="true" t="shared" si="19" ref="P12:P75">IF(K12=0,0,IF(AO12&lt;0,-AR12,AS12))</f>
        <v>0.06221621013121396</v>
      </c>
      <c r="Q12" s="1694">
        <v>1.430296</v>
      </c>
      <c r="R12" s="802">
        <f aca="true" t="shared" si="20" ref="R12:R17">IF(A12="SLOW",$J$5,$J$4)</f>
        <v>10</v>
      </c>
      <c r="S12" s="97">
        <f>ROUND(Q12*3600/R12,0)</f>
        <v>515</v>
      </c>
      <c r="T12" s="765">
        <f aca="true" t="shared" si="21" ref="T12:T17">IF(K12=0,0,IF(AO12&lt;0,AP12,AQ12))</f>
        <v>0</v>
      </c>
      <c r="U12" s="467">
        <f>ROUND(AF12*Q12,0)</f>
        <v>0</v>
      </c>
      <c r="V12" s="31">
        <f t="shared" si="14"/>
        <v>0</v>
      </c>
      <c r="W12" s="105">
        <f t="shared" si="1"/>
        <v>515</v>
      </c>
      <c r="X12" s="23">
        <f t="shared" si="2"/>
        <v>0.0059606615</v>
      </c>
      <c r="Y12" s="32">
        <f t="shared" si="3"/>
        <v>0.5359026559777776</v>
      </c>
      <c r="Z12" s="409">
        <f aca="true" t="shared" si="22" ref="Z12:Z17">IF(Y12=0,0,AVERAGE(Y12,Y11))</f>
        <v>0.5329223252277777</v>
      </c>
      <c r="AA12" s="171">
        <f t="shared" si="4"/>
        <v>3</v>
      </c>
      <c r="AB12" s="1717"/>
      <c r="AC12" s="1718"/>
      <c r="AD12" s="48">
        <f t="shared" si="5"/>
        <v>10</v>
      </c>
      <c r="AE12" s="29">
        <f t="shared" si="6"/>
        <v>360</v>
      </c>
      <c r="AF12" s="31">
        <f t="shared" si="7"/>
        <v>0</v>
      </c>
      <c r="AG12" s="1724"/>
      <c r="AH12" s="836"/>
      <c r="AI12" s="25">
        <f t="shared" si="8"/>
        <v>0</v>
      </c>
      <c r="AJ12" s="24">
        <f t="shared" si="9"/>
        <v>0</v>
      </c>
      <c r="AK12" s="379">
        <f t="shared" si="15"/>
        <v>0</v>
      </c>
      <c r="AL12" s="380">
        <f t="shared" si="10"/>
        <v>0</v>
      </c>
      <c r="AM12" s="134">
        <f t="shared" si="11"/>
        <v>0</v>
      </c>
      <c r="AN12" s="452"/>
      <c r="AO12" s="474">
        <f t="shared" si="16"/>
        <v>7</v>
      </c>
      <c r="AP12" s="473">
        <f aca="true" t="shared" si="23" ref="AP12:AP17">ROUND(IF(AO12=0,0,(ABS(AO12)*(1/$R$4+0.03333)-(57.3/$R$4)*SIN(ABS(AO12/57.3)))),0)</f>
        <v>0</v>
      </c>
      <c r="AQ12" s="473">
        <f aca="true" t="shared" si="24" ref="AQ12:AQ17">ROUND(IF(AO12=0,0,(ABS(AO12)*(1/$S$4+0.03333)-(57.3/$S$4)*SIN(ABS(AO12/57.3)))),0)</f>
        <v>0</v>
      </c>
      <c r="AR12" s="474">
        <f aca="true" t="shared" si="25" ref="AR12:AR17">IF(K12="",0,((32.3*$R12/$R$4)*(1-COS(ABS(AO12)/57.3))+2.252*$R12*SIN(ABS(AO12)/57.3))/(2025*TAN($Q12/57.3)))</f>
        <v>0.0638033360305807</v>
      </c>
      <c r="AS12" s="474">
        <f aca="true" t="shared" si="26" ref="AS12:AS17">IF(K12="",0,((32.3*$R12/$S$4)*(1-COS(ABS(AO12)/57.3))+2.252*$R12*SIN(ABS(AO12)/57.3))/(2025*TAN($Q12/57.3)))</f>
        <v>0.06221621013121396</v>
      </c>
      <c r="AT12" s="473"/>
      <c r="AU12" s="431">
        <f t="shared" si="12"/>
        <v>23</v>
      </c>
      <c r="AV12" s="250"/>
      <c r="AW12" s="267"/>
      <c r="AX12" s="214">
        <v>3</v>
      </c>
      <c r="AY12" s="538">
        <f>INDEX(B$10:B$81,MATCH(3,$C$10:$C$81,0))</f>
        <v>15</v>
      </c>
      <c r="AZ12" s="538">
        <f>INDEX(N$10:N$81,MATCH(3,$C$10:$C$81,0))</f>
        <v>171</v>
      </c>
      <c r="BA12" s="483">
        <f>INDEX(X$10:X$81,MATCH(3,$C$10:$C$81,0))</f>
        <v>0.003356489</v>
      </c>
    </row>
    <row r="13" spans="1:53" s="249" customFormat="1" ht="13.5" thickBot="1">
      <c r="A13" s="1013" t="s">
        <v>78</v>
      </c>
      <c r="B13" s="1658"/>
      <c r="C13" s="1659"/>
      <c r="D13" s="1653"/>
      <c r="E13" s="805">
        <f t="shared" si="0"/>
      </c>
      <c r="F13" s="1682"/>
      <c r="G13" s="1683"/>
      <c r="H13" s="1685"/>
      <c r="I13" s="1679"/>
      <c r="J13" s="1687"/>
      <c r="K13" s="1667"/>
      <c r="L13" s="800">
        <f t="shared" si="13"/>
      </c>
      <c r="M13" s="1693"/>
      <c r="N13" s="707">
        <f t="shared" si="17"/>
        <v>0</v>
      </c>
      <c r="O13" s="710">
        <f t="shared" si="18"/>
        <v>0</v>
      </c>
      <c r="P13" s="799">
        <f t="shared" si="19"/>
        <v>0</v>
      </c>
      <c r="Q13" s="1695"/>
      <c r="R13" s="802">
        <f t="shared" si="20"/>
        <v>10</v>
      </c>
      <c r="S13" s="466">
        <f>ROUND(Q13*3600/R13,2)</f>
        <v>0</v>
      </c>
      <c r="T13" s="765">
        <f t="shared" si="21"/>
        <v>0</v>
      </c>
      <c r="U13" s="468">
        <f>ROUND(AF13*Q13,2)</f>
        <v>0</v>
      </c>
      <c r="V13" s="31">
        <f t="shared" si="14"/>
        <v>0</v>
      </c>
      <c r="W13" s="105">
        <f t="shared" si="1"/>
        <v>0</v>
      </c>
      <c r="X13" s="23">
        <f t="shared" si="2"/>
        <v>0</v>
      </c>
      <c r="Y13" s="32">
        <f t="shared" si="3"/>
        <v>0</v>
      </c>
      <c r="Z13" s="409">
        <f t="shared" si="22"/>
        <v>0</v>
      </c>
      <c r="AA13" s="171">
        <f t="shared" si="4"/>
        <v>0</v>
      </c>
      <c r="AB13" s="1717"/>
      <c r="AC13" s="1718"/>
      <c r="AD13" s="48">
        <f t="shared" si="5"/>
        <v>10</v>
      </c>
      <c r="AE13" s="29">
        <f t="shared" si="6"/>
        <v>360</v>
      </c>
      <c r="AF13" s="31">
        <f t="shared" si="7"/>
        <v>0</v>
      </c>
      <c r="AG13" s="1723"/>
      <c r="AH13" s="839"/>
      <c r="AI13" s="25">
        <f t="shared" si="8"/>
        <v>0</v>
      </c>
      <c r="AJ13" s="24">
        <f t="shared" si="9"/>
        <v>0</v>
      </c>
      <c r="AK13" s="379">
        <f t="shared" si="15"/>
        <v>0</v>
      </c>
      <c r="AL13" s="380">
        <f t="shared" si="10"/>
        <v>0</v>
      </c>
      <c r="AM13" s="134" t="e">
        <f t="shared" si="11"/>
        <v>#DIV/0!</v>
      </c>
      <c r="AN13" s="452"/>
      <c r="AO13" s="474">
        <f t="shared" si="16"/>
        <v>0</v>
      </c>
      <c r="AP13" s="473">
        <f t="shared" si="23"/>
        <v>0</v>
      </c>
      <c r="AQ13" s="473">
        <f t="shared" si="24"/>
        <v>0</v>
      </c>
      <c r="AR13" s="474">
        <f t="shared" si="25"/>
        <v>0</v>
      </c>
      <c r="AS13" s="474">
        <f t="shared" si="26"/>
        <v>0</v>
      </c>
      <c r="AT13" s="475"/>
      <c r="AU13" s="246">
        <f t="shared" si="12"/>
        <v>0</v>
      </c>
      <c r="AV13" s="250"/>
      <c r="AW13" s="251"/>
      <c r="AX13" s="215">
        <v>4</v>
      </c>
      <c r="AY13" s="479" t="e">
        <f>INDEX(B$10:B$81,MATCH(4,$C$10:$C$81,0))</f>
        <v>#N/A</v>
      </c>
      <c r="AZ13" s="538" t="e">
        <f>INDEX(N$10:N$81,MATCH(4,$C$10:$C$81,0))</f>
        <v>#N/A</v>
      </c>
      <c r="BA13" s="478" t="e">
        <f>INDEX(X$10:X$81,MATCH(4,$C$10:$C$81,0))</f>
        <v>#N/A</v>
      </c>
    </row>
    <row r="14" spans="1:53" s="52" customFormat="1" ht="12.75" customHeight="1" thickBot="1">
      <c r="A14" s="1016" t="s">
        <v>78</v>
      </c>
      <c r="B14" s="1655"/>
      <c r="C14" s="1657"/>
      <c r="D14" s="1654"/>
      <c r="E14" s="805">
        <f t="shared" si="0"/>
      </c>
      <c r="F14" s="1682"/>
      <c r="G14" s="1683"/>
      <c r="H14" s="1688"/>
      <c r="I14" s="1679"/>
      <c r="J14" s="1689"/>
      <c r="K14" s="1667"/>
      <c r="L14" s="800">
        <f t="shared" si="13"/>
      </c>
      <c r="M14" s="1693"/>
      <c r="N14" s="707">
        <f t="shared" si="17"/>
        <v>0</v>
      </c>
      <c r="O14" s="710">
        <f t="shared" si="18"/>
        <v>0</v>
      </c>
      <c r="P14" s="799">
        <f t="shared" si="19"/>
        <v>0</v>
      </c>
      <c r="Q14" s="1695"/>
      <c r="R14" s="802">
        <f t="shared" si="20"/>
        <v>10</v>
      </c>
      <c r="S14" s="97">
        <f>ROUND(Q14*3600/R14,0)</f>
        <v>0</v>
      </c>
      <c r="T14" s="765">
        <f t="shared" si="21"/>
        <v>0</v>
      </c>
      <c r="U14" s="467">
        <f>ROUND(AF14*Q14,0)</f>
        <v>0</v>
      </c>
      <c r="V14" s="31">
        <f t="shared" si="14"/>
        <v>0</v>
      </c>
      <c r="W14" s="105">
        <f t="shared" si="1"/>
        <v>0</v>
      </c>
      <c r="X14" s="23">
        <f t="shared" si="2"/>
        <v>0</v>
      </c>
      <c r="Y14" s="32">
        <f t="shared" si="3"/>
        <v>0</v>
      </c>
      <c r="Z14" s="409">
        <f t="shared" si="22"/>
        <v>0</v>
      </c>
      <c r="AA14" s="171">
        <f t="shared" si="4"/>
        <v>0</v>
      </c>
      <c r="AB14" s="1717"/>
      <c r="AC14" s="1718"/>
      <c r="AD14" s="48">
        <f t="shared" si="5"/>
        <v>10</v>
      </c>
      <c r="AE14" s="29">
        <f t="shared" si="6"/>
        <v>360</v>
      </c>
      <c r="AF14" s="31">
        <f t="shared" si="7"/>
        <v>0</v>
      </c>
      <c r="AG14" s="1724"/>
      <c r="AH14" s="836"/>
      <c r="AI14" s="25">
        <f t="shared" si="8"/>
        <v>0</v>
      </c>
      <c r="AJ14" s="24">
        <f t="shared" si="9"/>
        <v>0</v>
      </c>
      <c r="AK14" s="379">
        <f t="shared" si="15"/>
        <v>0</v>
      </c>
      <c r="AL14" s="380">
        <f t="shared" si="10"/>
        <v>0</v>
      </c>
      <c r="AM14" s="381" t="e">
        <f t="shared" si="11"/>
        <v>#DIV/0!</v>
      </c>
      <c r="AN14" s="62"/>
      <c r="AO14" s="474">
        <f t="shared" si="16"/>
        <v>0</v>
      </c>
      <c r="AP14" s="473">
        <f t="shared" si="23"/>
        <v>0</v>
      </c>
      <c r="AQ14" s="473">
        <f t="shared" si="24"/>
        <v>0</v>
      </c>
      <c r="AR14" s="474">
        <f t="shared" si="25"/>
        <v>0</v>
      </c>
      <c r="AS14" s="474">
        <f t="shared" si="26"/>
        <v>0</v>
      </c>
      <c r="AT14" s="475"/>
      <c r="AU14" s="246">
        <f t="shared" si="12"/>
        <v>0</v>
      </c>
      <c r="AV14" s="70"/>
      <c r="AW14" s="47"/>
      <c r="AX14" s="215">
        <v>5</v>
      </c>
      <c r="AY14" s="479" t="e">
        <f>INDEX(B$10:B$81,MATCH(5,$C$10:$C$81,0))</f>
        <v>#N/A</v>
      </c>
      <c r="AZ14" s="538" t="e">
        <f>INDEX(N$10:N$81,MATCH(5,$C$10:$C$81,0))</f>
        <v>#N/A</v>
      </c>
      <c r="BA14" s="478" t="e">
        <f>INDEX(X$10:X$81,MATCH(5,$C$10:$C$81,0))</f>
        <v>#N/A</v>
      </c>
    </row>
    <row r="15" spans="1:53" s="249" customFormat="1" ht="13.5" customHeight="1" thickBot="1">
      <c r="A15" s="1018" t="s">
        <v>78</v>
      </c>
      <c r="B15" s="1655"/>
      <c r="C15" s="1657"/>
      <c r="D15" s="1654"/>
      <c r="E15" s="805">
        <f>IF(C15="","",X15)</f>
      </c>
      <c r="F15" s="1682"/>
      <c r="G15" s="1683"/>
      <c r="H15" s="1684"/>
      <c r="I15" s="1679"/>
      <c r="J15" s="1690"/>
      <c r="K15" s="1667"/>
      <c r="L15" s="800">
        <f t="shared" si="13"/>
      </c>
      <c r="M15" s="1693"/>
      <c r="N15" s="707">
        <f t="shared" si="17"/>
        <v>0</v>
      </c>
      <c r="O15" s="710">
        <f t="shared" si="18"/>
        <v>0</v>
      </c>
      <c r="P15" s="799">
        <f t="shared" si="19"/>
        <v>0</v>
      </c>
      <c r="Q15" s="1695"/>
      <c r="R15" s="802">
        <f t="shared" si="20"/>
        <v>10</v>
      </c>
      <c r="S15" s="97">
        <f>ROUND(Q15*3600/R15,0)</f>
        <v>0</v>
      </c>
      <c r="T15" s="765">
        <f t="shared" si="21"/>
        <v>0</v>
      </c>
      <c r="U15" s="467">
        <f>ROUND(AF15*Q15,0)</f>
        <v>0</v>
      </c>
      <c r="V15" s="31">
        <f t="shared" si="14"/>
        <v>0</v>
      </c>
      <c r="W15" s="105">
        <f t="shared" si="1"/>
        <v>0</v>
      </c>
      <c r="X15" s="54">
        <f t="shared" si="2"/>
        <v>0</v>
      </c>
      <c r="Y15" s="32">
        <f t="shared" si="3"/>
        <v>0</v>
      </c>
      <c r="Z15" s="409">
        <f t="shared" si="22"/>
        <v>0</v>
      </c>
      <c r="AA15" s="171">
        <f t="shared" si="4"/>
        <v>0</v>
      </c>
      <c r="AB15" s="1717"/>
      <c r="AC15" s="1718"/>
      <c r="AD15" s="48">
        <f t="shared" si="5"/>
        <v>10</v>
      </c>
      <c r="AE15" s="29">
        <f t="shared" si="6"/>
        <v>360</v>
      </c>
      <c r="AF15" s="31">
        <f t="shared" si="7"/>
        <v>0</v>
      </c>
      <c r="AG15" s="1725"/>
      <c r="AH15" s="840"/>
      <c r="AI15" s="25">
        <f t="shared" si="8"/>
        <v>0</v>
      </c>
      <c r="AJ15" s="24">
        <f t="shared" si="9"/>
        <v>0</v>
      </c>
      <c r="AK15" s="379">
        <f t="shared" si="15"/>
        <v>0</v>
      </c>
      <c r="AL15" s="380">
        <f t="shared" si="10"/>
        <v>0</v>
      </c>
      <c r="AM15" s="381" t="e">
        <f t="shared" si="11"/>
        <v>#DIV/0!</v>
      </c>
      <c r="AN15" s="452"/>
      <c r="AO15" s="474">
        <f t="shared" si="16"/>
        <v>0</v>
      </c>
      <c r="AP15" s="473">
        <f t="shared" si="23"/>
        <v>0</v>
      </c>
      <c r="AQ15" s="473">
        <f t="shared" si="24"/>
        <v>0</v>
      </c>
      <c r="AR15" s="474">
        <f t="shared" si="25"/>
        <v>0</v>
      </c>
      <c r="AS15" s="474">
        <f t="shared" si="26"/>
        <v>0</v>
      </c>
      <c r="AT15" s="475"/>
      <c r="AU15" s="246">
        <f t="shared" si="12"/>
        <v>0</v>
      </c>
      <c r="AV15" s="250"/>
      <c r="AW15" s="251"/>
      <c r="AX15" s="215">
        <v>6</v>
      </c>
      <c r="AY15" s="479" t="e">
        <f>INDEX(B$10:B$81,MATCH(6,$C$10:$C$81,0))</f>
        <v>#N/A</v>
      </c>
      <c r="AZ15" s="538" t="e">
        <f>INDEX(N$10:N$81,MATCH(6,$C$10:$C$81,0))</f>
        <v>#N/A</v>
      </c>
      <c r="BA15" s="478" t="e">
        <f>INDEX(X$10:X$81,MATCH(6,$C$10:$C$81,0))</f>
        <v>#N/A</v>
      </c>
    </row>
    <row r="16" spans="1:53" s="52" customFormat="1" ht="12.75" customHeight="1" thickBot="1">
      <c r="A16" s="1016" t="s">
        <v>78</v>
      </c>
      <c r="B16" s="1655"/>
      <c r="C16" s="1657"/>
      <c r="D16" s="1654"/>
      <c r="E16" s="805">
        <f t="shared" si="0"/>
      </c>
      <c r="F16" s="1682"/>
      <c r="G16" s="1683"/>
      <c r="H16" s="1684"/>
      <c r="I16" s="1679"/>
      <c r="J16" s="1689"/>
      <c r="K16" s="1667"/>
      <c r="L16" s="800">
        <f t="shared" si="13"/>
      </c>
      <c r="M16" s="1693"/>
      <c r="N16" s="707">
        <f t="shared" si="17"/>
        <v>0</v>
      </c>
      <c r="O16" s="710">
        <f t="shared" si="18"/>
        <v>0</v>
      </c>
      <c r="P16" s="799">
        <f t="shared" si="19"/>
        <v>0</v>
      </c>
      <c r="Q16" s="1695"/>
      <c r="R16" s="802">
        <f t="shared" si="20"/>
        <v>10</v>
      </c>
      <c r="S16" s="97">
        <f>ROUND(Q16*3600/R16,0)</f>
        <v>0</v>
      </c>
      <c r="T16" s="765">
        <f t="shared" si="21"/>
        <v>0</v>
      </c>
      <c r="U16" s="467">
        <f>ROUND(AF16*Q16,0)</f>
        <v>0</v>
      </c>
      <c r="V16" s="31">
        <f t="shared" si="14"/>
        <v>0</v>
      </c>
      <c r="W16" s="105">
        <f t="shared" si="1"/>
        <v>0</v>
      </c>
      <c r="X16" s="23">
        <f t="shared" si="2"/>
        <v>0</v>
      </c>
      <c r="Y16" s="32">
        <f t="shared" si="3"/>
        <v>0</v>
      </c>
      <c r="Z16" s="409">
        <f t="shared" si="22"/>
        <v>0</v>
      </c>
      <c r="AA16" s="171">
        <f t="shared" si="4"/>
        <v>0</v>
      </c>
      <c r="AB16" s="1717"/>
      <c r="AC16" s="1718"/>
      <c r="AD16" s="48">
        <f t="shared" si="5"/>
        <v>10</v>
      </c>
      <c r="AE16" s="29">
        <f t="shared" si="6"/>
        <v>360</v>
      </c>
      <c r="AF16" s="31">
        <f t="shared" si="7"/>
        <v>0</v>
      </c>
      <c r="AG16" s="1724"/>
      <c r="AH16" s="836"/>
      <c r="AI16" s="25">
        <f t="shared" si="8"/>
        <v>0</v>
      </c>
      <c r="AJ16" s="24">
        <f t="shared" si="9"/>
        <v>0</v>
      </c>
      <c r="AK16" s="379">
        <f t="shared" si="15"/>
        <v>0</v>
      </c>
      <c r="AL16" s="380">
        <f t="shared" si="10"/>
        <v>0</v>
      </c>
      <c r="AM16" s="381" t="e">
        <f t="shared" si="11"/>
        <v>#DIV/0!</v>
      </c>
      <c r="AN16" s="62"/>
      <c r="AO16" s="474">
        <f t="shared" si="16"/>
        <v>0</v>
      </c>
      <c r="AP16" s="473">
        <f t="shared" si="23"/>
        <v>0</v>
      </c>
      <c r="AQ16" s="473">
        <f t="shared" si="24"/>
        <v>0</v>
      </c>
      <c r="AR16" s="474">
        <f t="shared" si="25"/>
        <v>0</v>
      </c>
      <c r="AS16" s="474">
        <f t="shared" si="26"/>
        <v>0</v>
      </c>
      <c r="AT16" s="475"/>
      <c r="AU16" s="246">
        <f t="shared" si="12"/>
        <v>0</v>
      </c>
      <c r="AV16" s="70"/>
      <c r="AW16" s="47"/>
      <c r="AX16" s="215">
        <v>7</v>
      </c>
      <c r="AY16" s="479" t="e">
        <f>INDEX(B$10:B$81,MATCH(7,$C$10:$C$81,0))</f>
        <v>#N/A</v>
      </c>
      <c r="AZ16" s="538" t="e">
        <f>INDEX(N$10:N$81,MATCH(7,$C$10:$C$81,0))</f>
        <v>#N/A</v>
      </c>
      <c r="BA16" s="478" t="e">
        <f>INDEX(X$10:X$81,MATCH(7,$C$10:$C$81,0))</f>
        <v>#N/A</v>
      </c>
    </row>
    <row r="17" spans="1:53" s="53" customFormat="1" ht="14.25" customHeight="1">
      <c r="A17" s="1002" t="s">
        <v>78</v>
      </c>
      <c r="B17" s="1655"/>
      <c r="C17" s="1657"/>
      <c r="D17" s="1654"/>
      <c r="E17" s="805">
        <f t="shared" si="0"/>
      </c>
      <c r="F17" s="1682"/>
      <c r="G17" s="1683"/>
      <c r="H17" s="1684"/>
      <c r="I17" s="1679"/>
      <c r="J17" s="1691"/>
      <c r="K17" s="1667"/>
      <c r="L17" s="800">
        <f t="shared" si="13"/>
      </c>
      <c r="M17" s="1693"/>
      <c r="N17" s="707">
        <f t="shared" si="17"/>
        <v>0</v>
      </c>
      <c r="O17" s="710">
        <f t="shared" si="18"/>
        <v>0</v>
      </c>
      <c r="P17" s="799">
        <f t="shared" si="19"/>
        <v>0</v>
      </c>
      <c r="Q17" s="1695"/>
      <c r="R17" s="802">
        <f t="shared" si="20"/>
        <v>10</v>
      </c>
      <c r="S17" s="97">
        <f>ROUND(Q17*3600/R17,0)</f>
        <v>0</v>
      </c>
      <c r="T17" s="765">
        <f t="shared" si="21"/>
        <v>0</v>
      </c>
      <c r="U17" s="467">
        <f>ROUND(AF17*Q17,0)</f>
        <v>0</v>
      </c>
      <c r="V17" s="31">
        <f t="shared" si="14"/>
        <v>0</v>
      </c>
      <c r="W17" s="105">
        <f t="shared" si="1"/>
        <v>0</v>
      </c>
      <c r="X17" s="23">
        <f t="shared" si="2"/>
        <v>0</v>
      </c>
      <c r="Y17" s="32">
        <f t="shared" si="3"/>
        <v>0</v>
      </c>
      <c r="Z17" s="409">
        <f t="shared" si="22"/>
        <v>0</v>
      </c>
      <c r="AA17" s="171">
        <f t="shared" si="4"/>
        <v>0</v>
      </c>
      <c r="AB17" s="1719"/>
      <c r="AC17" s="1720"/>
      <c r="AD17" s="48">
        <f t="shared" si="5"/>
        <v>10</v>
      </c>
      <c r="AE17" s="29">
        <f t="shared" si="6"/>
        <v>360</v>
      </c>
      <c r="AF17" s="31">
        <f t="shared" si="7"/>
        <v>0</v>
      </c>
      <c r="AG17" s="1724"/>
      <c r="AH17" s="836"/>
      <c r="AI17" s="25">
        <f t="shared" si="8"/>
        <v>0</v>
      </c>
      <c r="AJ17" s="24">
        <f t="shared" si="9"/>
        <v>0</v>
      </c>
      <c r="AK17" s="379">
        <f t="shared" si="15"/>
        <v>0</v>
      </c>
      <c r="AL17" s="380">
        <f t="shared" si="10"/>
        <v>0</v>
      </c>
      <c r="AM17" s="381" t="e">
        <f t="shared" si="11"/>
        <v>#DIV/0!</v>
      </c>
      <c r="AN17" s="62"/>
      <c r="AO17" s="474">
        <f t="shared" si="16"/>
        <v>0</v>
      </c>
      <c r="AP17" s="473">
        <f t="shared" si="23"/>
        <v>0</v>
      </c>
      <c r="AQ17" s="473">
        <f t="shared" si="24"/>
        <v>0</v>
      </c>
      <c r="AR17" s="474">
        <f t="shared" si="25"/>
        <v>0</v>
      </c>
      <c r="AS17" s="474">
        <f t="shared" si="26"/>
        <v>0</v>
      </c>
      <c r="AT17" s="475"/>
      <c r="AU17" s="246">
        <f t="shared" si="12"/>
        <v>0</v>
      </c>
      <c r="AV17" s="70"/>
      <c r="AW17" s="47"/>
      <c r="AX17" s="215">
        <v>8</v>
      </c>
      <c r="AY17" s="727" t="e">
        <f>INDEX(B$10:B$81,MATCH(8,$C$10:$C$81,0))</f>
        <v>#N/A</v>
      </c>
      <c r="AZ17" s="538" t="e">
        <f>INDEX(N$10:N$81,MATCH(8,$C$10:$C$81,0))</f>
        <v>#N/A</v>
      </c>
      <c r="BA17" s="728" t="e">
        <f>INDEX(X$10:X$81,MATCH(8,$C$10:$C$81,0))</f>
        <v>#N/A</v>
      </c>
    </row>
    <row r="18" spans="1:53" s="52" customFormat="1" ht="12.75">
      <c r="A18" s="256">
        <v>1</v>
      </c>
      <c r="B18" s="963">
        <f>IF($B10="","",IF($B11="",B10,IF($B12="",B11,IF($B13="",B12,IF($B14="",B13,IF($B15="",B14,IF($B16="",B15,IF($B17="",B16,B17))))))))</f>
        <v>3</v>
      </c>
      <c r="C18" s="963"/>
      <c r="D18" s="966" t="str">
        <f>IF($B10="","",IF($B11="",D10,IF($B12="",D11,IF($B13="",D12,IF($B14="",D13,IF($B15="",D14,IF($B16="",D15,IF($B17="",D16,D17))))))))</f>
        <v>CP-1 Colvos Psg Lt #6</v>
      </c>
      <c r="E18" s="627"/>
      <c r="F18" s="544">
        <f>IF($B10="","",IF($B11="",F10,IF($B12="",F11,IF($B13="",F12,IF($B14="",F13,IF($B15="",F14,IF($B16="",F15,IF($B17="",F16,F17))))))))</f>
        <v>0</v>
      </c>
      <c r="G18" s="545">
        <f>IF($B10="","",IF($B11="",G10,IF($B12="",G11,IF($B13="",G12,IF($B14="",G13,IF($B15="",G14,IF($B16="",G15,IF($B17="",G16,G17))))))))</f>
        <v>0</v>
      </c>
      <c r="H18" s="540"/>
      <c r="I18" s="503">
        <f>IF($B10="","",IF($B11="",I10,IF($B12="",I11,IF($B13="",I12,IF($B14="",I13,IF($B15="",I14,IF($B16="",I15,IF($B17="",I16,I17))))))))</f>
        <v>0</v>
      </c>
      <c r="J18" s="540">
        <f>IF($B10="","",IF($B11="",J10,IF($B12="",J11,IF($B13="",J12,IF($B14="",J13,IF($B15="",J14,IF($B16="",J15,IF($B17="",J16,J17))))))))</f>
        <v>0</v>
      </c>
      <c r="K18" s="739"/>
      <c r="L18" s="801"/>
      <c r="M18" s="708"/>
      <c r="N18" s="709">
        <f>IF($B10="","",IF($B11="",N10,IF($B12="",N11,IF($B13="",N12,IF($B14="",N13,IF($B15="",N14,IF($B16="",N15,IF($B17="",N16,N17))))))))</f>
        <v>23</v>
      </c>
      <c r="O18" s="767"/>
      <c r="P18" s="967"/>
      <c r="Q18" s="255">
        <f>SUM(Q10:Q17)</f>
        <v>2.85994</v>
      </c>
      <c r="R18" s="803">
        <f>Q18*3600/S18</f>
        <v>9.995906796116504</v>
      </c>
      <c r="S18" s="207">
        <f>SUM(S10:S17)</f>
        <v>1030</v>
      </c>
      <c r="T18" s="766">
        <f>SUM(T10:T17)</f>
        <v>1</v>
      </c>
      <c r="U18" s="469">
        <f>SUM(U10:U17)</f>
        <v>0</v>
      </c>
      <c r="V18" s="252" t="str">
        <f>IF($B10="","",IF($B11="",$A10,IF($B12="",$A11,IF($B13="",$A12,IF($B14="",$A13,IF($B15="",$A14,IF($B16="",$A15,IF($B17="",$A16,$A17))))))))</f>
        <v>C</v>
      </c>
      <c r="W18" s="208">
        <f>ROUND(SUM(W10:W17),0)</f>
        <v>1031</v>
      </c>
      <c r="X18" s="257">
        <f t="shared" si="2"/>
        <v>0.0119328971</v>
      </c>
      <c r="Y18" s="258">
        <f>TIMEVALUE(Y9)+TIMEVALUE(X18)</f>
        <v>0.5359026559777778</v>
      </c>
      <c r="Z18" s="410"/>
      <c r="AA18" s="414"/>
      <c r="AB18" s="584"/>
      <c r="AC18" s="585"/>
      <c r="AD18" s="415">
        <f>(AD10*$Q10+AD11*$Q11+AD12*$Q12+AD13*$Q13+AD14*$Q14+AD15*$Q15+AD16*$Q16+AD17*$Q17)/$Q18</f>
        <v>10.000000000000002</v>
      </c>
      <c r="AE18" s="554">
        <f>(AE10*$Q10+AE11*$Q11+AE12*$Q12+AE13*$Q13+AE14*$Q14+AE15*$Q15+AE16*$Q16+AE17*$Q17)/$Q18</f>
        <v>359.99999999999994</v>
      </c>
      <c r="AF18" s="554">
        <f>(AF10*$Q10+AF11*$Q11+AF12*$Q12+AF13*$Q13+AF14*$Q14+AF15*$Q15+AF16*$Q16+AF17*$Q17)/$Q18</f>
        <v>0</v>
      </c>
      <c r="AG18" s="953">
        <f>IF($B10="",0,IF($B11="",AG10,IF($B12="",AG11,IF($B13="",AG12,IF($B14="",AG13,IF($B15="",AG14,IF($B16="",AG15,IF($B17="",AG16,AG17))))))))</f>
        <v>0</v>
      </c>
      <c r="AH18" s="1726"/>
      <c r="AI18" s="136">
        <f>IF(TIMEVALUE(AG18)=0,0,TIMEVALUE(AG18)-TIMEVALUE(AG9)-TIMEVALUE(AH18))</f>
        <v>0</v>
      </c>
      <c r="AJ18" s="140">
        <f t="shared" si="9"/>
        <v>0</v>
      </c>
      <c r="AK18" s="415">
        <f>(AK10*$Q10+AK11*$Q11+AK12*$Q12+AK13*$Q13+AK14*$Q14+AK15*$Q15+AK16*$Q16+AK17*$Q17)/$Q18</f>
        <v>0</v>
      </c>
      <c r="AL18" s="415">
        <f>(AL10*$Q10+AL11*$Q11+AL12*$Q12+AL13*$Q13+AL14*$Q14+AL15*$Q15+AL16*$Q16+AL17*$Q17)/$Q18</f>
        <v>0</v>
      </c>
      <c r="AM18" s="382">
        <f t="shared" si="11"/>
        <v>0</v>
      </c>
      <c r="AN18" s="480"/>
      <c r="AO18" s="481"/>
      <c r="AP18" s="473">
        <v>0</v>
      </c>
      <c r="AQ18" s="482"/>
      <c r="AR18" s="481"/>
      <c r="AS18" s="482"/>
      <c r="AT18" s="482"/>
      <c r="AU18" s="247"/>
      <c r="AV18" s="75"/>
      <c r="AW18" s="57"/>
      <c r="AX18" s="729">
        <v>9</v>
      </c>
      <c r="AY18" s="730" t="e">
        <f>INDEX(B$10:B$81,MATCH(9,$C$10:$C$81,0))</f>
        <v>#N/A</v>
      </c>
      <c r="AZ18" s="538" t="e">
        <f>INDEX(N$10:N$81,MATCH(9,$C$10:$C$81,0))</f>
        <v>#N/A</v>
      </c>
      <c r="BA18" s="731" t="e">
        <f>INDEX(X$10:X$81,MATCH(9,$C$10:$C$81,0))</f>
        <v>#N/A</v>
      </c>
    </row>
    <row r="19" spans="1:53" s="249" customFormat="1" ht="13.5" thickBot="1">
      <c r="A19" s="1018" t="s">
        <v>78</v>
      </c>
      <c r="B19" s="1660">
        <v>4</v>
      </c>
      <c r="C19" s="1661">
        <v>1</v>
      </c>
      <c r="D19" s="1652" t="s">
        <v>414</v>
      </c>
      <c r="E19" s="961">
        <f aca="true" t="shared" si="27" ref="E19:E26">IF(C19="","",X19)</f>
        <v>0.0039467681</v>
      </c>
      <c r="F19" s="1676"/>
      <c r="G19" s="1683"/>
      <c r="H19" s="1684"/>
      <c r="I19" s="1679"/>
      <c r="J19" s="1680"/>
      <c r="K19" s="1681">
        <v>329.967994</v>
      </c>
      <c r="L19" s="800">
        <f t="shared" si="13"/>
        <v>329.967994</v>
      </c>
      <c r="M19" s="1009"/>
      <c r="N19" s="707">
        <f aca="true" t="shared" si="28" ref="N19:N26">IF(K19=0,0,IF(AU19&gt;360,AU19-360,IF(AU19&lt;0,AU19+360,AU19)))</f>
        <v>330</v>
      </c>
      <c r="O19" s="710">
        <f aca="true" t="shared" si="29" ref="O19:O26">IF(K19=0,0,ABS(IF(ABS(N19-N18)&lt;180.1,ABS(N19-N18),(IF(N19-N18&gt;180,(360+N18-N19),(360+N19-N18))))))</f>
        <v>53</v>
      </c>
      <c r="P19" s="769">
        <f t="shared" si="19"/>
        <v>-1.3157003709888966</v>
      </c>
      <c r="Q19" s="1007">
        <v>0.939833</v>
      </c>
      <c r="R19" s="802">
        <f aca="true" t="shared" si="30" ref="R19:R26">IF(A19="SLOW",$J$5,$J$4)</f>
        <v>10</v>
      </c>
      <c r="S19" s="97">
        <f aca="true" t="shared" si="31" ref="S19:S26">ROUND(Q19*3600/R19,0)</f>
        <v>338</v>
      </c>
      <c r="T19" s="765">
        <f aca="true" t="shared" si="32" ref="T19:T26">IF(K19=0,0,IF(AO19&lt;0,AP19,AQ19))</f>
        <v>3</v>
      </c>
      <c r="U19" s="467">
        <f aca="true" t="shared" si="33" ref="U19:U26">ROUND(AF19*Q19,0)</f>
        <v>0</v>
      </c>
      <c r="V19" s="31">
        <f>IF($B19="",0,IF($A19=$A17,0,IF($A19=V18,0,(IF($A19="SLOW",P$3,P$4)))))</f>
        <v>0</v>
      </c>
      <c r="W19" s="105">
        <f aca="true" t="shared" si="34" ref="W19:W26">ROUND(S19+T19+U19+V19,0)</f>
        <v>341</v>
      </c>
      <c r="X19" s="23">
        <f aca="true" t="shared" si="35" ref="X19:X27">W19*0.0000115741</f>
        <v>0.0039467681</v>
      </c>
      <c r="Y19" s="32">
        <f aca="true" t="shared" si="36" ref="Y19:Y26">IF(W19=0,0,TIMEVALUE(Y18)+TIMEVALUE(X19))</f>
        <v>0.5398494240777778</v>
      </c>
      <c r="Z19" s="409">
        <f aca="true" t="shared" si="37" ref="Z19:Z26">IF(Y19=0,0,AVERAGE(Y19,Y18))</f>
        <v>0.5378760400277778</v>
      </c>
      <c r="AA19" s="171">
        <f>B19</f>
        <v>4</v>
      </c>
      <c r="AB19" s="1730"/>
      <c r="AC19" s="1731"/>
      <c r="AD19" s="48">
        <f aca="true" t="shared" si="38" ref="AD19:AD26">(AC19*COS((AB19-K19)/57.29))+SQRT((AC19*COS((AB19-K19)/57.29))*(AC19*COS((AB19-K19)/57.29))-(AC19*AC19)+(R19*R19))</f>
        <v>10</v>
      </c>
      <c r="AE19" s="29">
        <f>3600/AD19</f>
        <v>360</v>
      </c>
      <c r="AF19" s="31">
        <f aca="true" t="shared" si="39" ref="AF19:AF26">AE19-(3600/R19)</f>
        <v>0</v>
      </c>
      <c r="AG19" s="1727"/>
      <c r="AH19" s="836"/>
      <c r="AI19" s="25">
        <f aca="true" t="shared" si="40" ref="AI19:AI26">IF(TIMEVALUE(AG19)=0,0,TIMEVALUE(AG19)-TIMEVALUE(AG18)-TIMEVALUE(AH19))</f>
        <v>0</v>
      </c>
      <c r="AJ19" s="24">
        <f t="shared" si="9"/>
        <v>0</v>
      </c>
      <c r="AK19" s="379">
        <f t="shared" si="15"/>
        <v>0</v>
      </c>
      <c r="AL19" s="380">
        <f aca="true" t="shared" si="41" ref="AL19:AL26">IF(A19="SLOW",AD19-$J$5,AD19-$J$4)</f>
        <v>0</v>
      </c>
      <c r="AM19" s="134">
        <f t="shared" si="11"/>
        <v>0</v>
      </c>
      <c r="AN19" s="452"/>
      <c r="AO19" s="474">
        <f aca="true" t="shared" si="42" ref="AO19:AO26">IF(K19=0,0,IF(ABS(N19-N18)&gt;180,IF(N19&gt;N18,N19-N18-360,N19-N18+360),N19-N18))</f>
        <v>-53</v>
      </c>
      <c r="AP19" s="473">
        <f aca="true" t="shared" si="43" ref="AP19:AP26">ROUND(IF(AO19=0,0,(ABS(AO19)*(1/$R$4+0.03333)-(57.3/$R$4)*SIN(ABS(AO19/57.3)))),0)</f>
        <v>3</v>
      </c>
      <c r="AQ19" s="473">
        <f aca="true" t="shared" si="44" ref="AQ19:AQ26">ROUND(IF(AO19=0,0,(ABS(AO19)*(1/$S$4+0.03333)-(57.3/$S$4)*SIN(ABS(AO19/57.3)))),0)</f>
        <v>3</v>
      </c>
      <c r="AR19" s="474">
        <f aca="true" t="shared" si="45" ref="AR19:AR26">IF(K19="",0,((32.3*$R19/$R$4)*(1-COS(ABS(AO19)/57.3))+2.252*$R19*SIN(ABS(AO19)/57.3))/(2025*TAN($Q19/57.3)))</f>
        <v>1.3157003709888966</v>
      </c>
      <c r="AS19" s="474">
        <f aca="true" t="shared" si="46" ref="AS19:AS26">IF(K19="",0,((32.3*$R19/$S$4)*(1-COS(ABS(AO19)/57.3))+2.252*$R19*SIN(ABS(AO19)/57.3))/(2025*TAN($Q19/57.3)))</f>
        <v>1.1866537184054873</v>
      </c>
      <c r="AT19" s="473"/>
      <c r="AU19" s="431">
        <f aca="true" t="shared" si="47" ref="AU19:AU26">ROUND(K19-57.29*ASIN(AC19/R19*SIN((AB19-K19)/57.29))+$R$3+M19,0)</f>
        <v>330</v>
      </c>
      <c r="AV19" s="306">
        <f>IF(K17&lt;&gt;0,K17,IF(K16&lt;&gt;0,K16,IF(K15&lt;&gt;0,K15,IF(K14&lt;&gt;0,K14,IF(K13&lt;&gt;0,K13,IF(K12&lt;&gt;0,K12,IF(K11&lt;&gt;0,K11,K10)))))))</f>
        <v>23.361769</v>
      </c>
      <c r="AW19" s="267"/>
      <c r="AX19" s="214">
        <v>10</v>
      </c>
      <c r="AY19" s="538" t="e">
        <f>INDEX(B$10:B$81,MATCH(10,$C$10:$C$81,0))</f>
        <v>#N/A</v>
      </c>
      <c r="AZ19" s="538" t="e">
        <f>INDEX(N$10:N$81,MATCH(10,$C$10:$C$81,0))</f>
        <v>#N/A</v>
      </c>
      <c r="BA19" s="553" t="e">
        <f>INDEX(X$10:X$81,MATCH(10,$C$10:$C$81,0))</f>
        <v>#N/A</v>
      </c>
    </row>
    <row r="20" spans="1:53" s="249" customFormat="1" ht="13.5" thickBot="1">
      <c r="A20" s="1013" t="s">
        <v>78</v>
      </c>
      <c r="B20" s="1660">
        <v>5</v>
      </c>
      <c r="C20" s="1661"/>
      <c r="D20" s="1652" t="s">
        <v>423</v>
      </c>
      <c r="E20" s="961">
        <f t="shared" si="27"/>
      </c>
      <c r="F20" s="1676"/>
      <c r="G20" s="1683"/>
      <c r="H20" s="1697"/>
      <c r="I20" s="1679"/>
      <c r="J20" s="1685"/>
      <c r="K20" s="1681">
        <v>14.513419</v>
      </c>
      <c r="L20" s="800">
        <f t="shared" si="13"/>
        <v>14.513419</v>
      </c>
      <c r="M20" s="1010"/>
      <c r="N20" s="707">
        <f t="shared" si="28"/>
        <v>15</v>
      </c>
      <c r="O20" s="710">
        <f t="shared" si="29"/>
        <v>45</v>
      </c>
      <c r="P20" s="799">
        <f t="shared" si="19"/>
        <v>0.47070231370842486</v>
      </c>
      <c r="Q20" s="1007">
        <v>1.904245</v>
      </c>
      <c r="R20" s="802">
        <f t="shared" si="30"/>
        <v>10</v>
      </c>
      <c r="S20" s="97">
        <f t="shared" si="31"/>
        <v>686</v>
      </c>
      <c r="T20" s="765">
        <f t="shared" si="32"/>
        <v>2</v>
      </c>
      <c r="U20" s="467">
        <f t="shared" si="33"/>
        <v>0</v>
      </c>
      <c r="V20" s="31">
        <f aca="true" t="shared" si="48" ref="V20:V26">IF(B20="",0,IF(A20=A19,0,IF(A20="SLOW",P$3,P$4)))</f>
        <v>0</v>
      </c>
      <c r="W20" s="105">
        <f t="shared" si="34"/>
        <v>688</v>
      </c>
      <c r="X20" s="23">
        <f t="shared" si="35"/>
        <v>0.0079629808</v>
      </c>
      <c r="Y20" s="32">
        <f t="shared" si="36"/>
        <v>0.5478124048777778</v>
      </c>
      <c r="Z20" s="409">
        <f t="shared" si="37"/>
        <v>0.5438309144777778</v>
      </c>
      <c r="AA20" s="171">
        <f>B20</f>
        <v>5</v>
      </c>
      <c r="AB20" s="1717"/>
      <c r="AC20" s="1718"/>
      <c r="AD20" s="48">
        <f t="shared" si="38"/>
        <v>10</v>
      </c>
      <c r="AE20" s="29">
        <f>3600/AD20</f>
        <v>360</v>
      </c>
      <c r="AF20" s="31">
        <f t="shared" si="39"/>
        <v>0</v>
      </c>
      <c r="AG20" s="1727"/>
      <c r="AH20" s="836"/>
      <c r="AI20" s="25">
        <f t="shared" si="40"/>
        <v>0</v>
      </c>
      <c r="AJ20" s="24">
        <f t="shared" si="9"/>
        <v>0</v>
      </c>
      <c r="AK20" s="379">
        <f t="shared" si="15"/>
        <v>0</v>
      </c>
      <c r="AL20" s="380">
        <f t="shared" si="41"/>
        <v>0</v>
      </c>
      <c r="AM20" s="134">
        <f t="shared" si="11"/>
        <v>0</v>
      </c>
      <c r="AN20" s="452"/>
      <c r="AO20" s="474">
        <f t="shared" si="42"/>
        <v>45</v>
      </c>
      <c r="AP20" s="473">
        <f t="shared" si="43"/>
        <v>2</v>
      </c>
      <c r="AQ20" s="473">
        <f t="shared" si="44"/>
        <v>2</v>
      </c>
      <c r="AR20" s="474">
        <f t="shared" si="45"/>
        <v>0.5175379878235561</v>
      </c>
      <c r="AS20" s="474">
        <f t="shared" si="46"/>
        <v>0.47070231370842486</v>
      </c>
      <c r="AT20" s="475"/>
      <c r="AU20" s="431">
        <f t="shared" si="47"/>
        <v>15</v>
      </c>
      <c r="AV20" s="250"/>
      <c r="AW20" s="267"/>
      <c r="AX20" s="214">
        <v>11</v>
      </c>
      <c r="AY20" s="479" t="e">
        <f>INDEX(B$10:B$81,MATCH(11,$C$10:$C$81,0))</f>
        <v>#N/A</v>
      </c>
      <c r="AZ20" s="538" t="e">
        <f>INDEX(N$10:N$81,MATCH(11,$C$10:$C$81,0))</f>
        <v>#N/A</v>
      </c>
      <c r="BA20" s="478" t="e">
        <f>INDEX(X$10:X$81,MATCH(11,$C$10:$C$81,0))</f>
        <v>#N/A</v>
      </c>
    </row>
    <row r="21" spans="1:53" s="249" customFormat="1" ht="13.5" thickBot="1">
      <c r="A21" s="1013" t="s">
        <v>78</v>
      </c>
      <c r="B21" s="1660">
        <v>6</v>
      </c>
      <c r="C21" s="1661"/>
      <c r="D21" s="1652" t="s">
        <v>424</v>
      </c>
      <c r="E21" s="961">
        <f t="shared" si="27"/>
      </c>
      <c r="F21" s="1682"/>
      <c r="G21" s="1683"/>
      <c r="H21" s="1684"/>
      <c r="I21" s="1679"/>
      <c r="J21" s="1685"/>
      <c r="K21" s="1681">
        <v>31.653665</v>
      </c>
      <c r="L21" s="800">
        <f t="shared" si="13"/>
        <v>31.653665</v>
      </c>
      <c r="M21" s="1010"/>
      <c r="N21" s="707">
        <f t="shared" si="28"/>
        <v>32</v>
      </c>
      <c r="O21" s="710">
        <f t="shared" si="29"/>
        <v>17</v>
      </c>
      <c r="P21" s="799">
        <f t="shared" si="19"/>
        <v>0.43285967973821066</v>
      </c>
      <c r="Q21" s="1007">
        <v>0.584109</v>
      </c>
      <c r="R21" s="802">
        <f t="shared" si="30"/>
        <v>10</v>
      </c>
      <c r="S21" s="97">
        <f t="shared" si="31"/>
        <v>210</v>
      </c>
      <c r="T21" s="765">
        <f t="shared" si="32"/>
        <v>1</v>
      </c>
      <c r="U21" s="467">
        <f t="shared" si="33"/>
        <v>0</v>
      </c>
      <c r="V21" s="31">
        <f t="shared" si="48"/>
        <v>0</v>
      </c>
      <c r="W21" s="105">
        <f t="shared" si="34"/>
        <v>211</v>
      </c>
      <c r="X21" s="23">
        <f t="shared" si="35"/>
        <v>0.0024421351</v>
      </c>
      <c r="Y21" s="32">
        <f t="shared" si="36"/>
        <v>0.5502545399777778</v>
      </c>
      <c r="Z21" s="409">
        <f t="shared" si="37"/>
        <v>0.5490334724277779</v>
      </c>
      <c r="AA21" s="171">
        <f aca="true" t="shared" si="49" ref="AA21:AA26">B21</f>
        <v>6</v>
      </c>
      <c r="AB21" s="1717"/>
      <c r="AC21" s="1718"/>
      <c r="AD21" s="48">
        <f t="shared" si="38"/>
        <v>10</v>
      </c>
      <c r="AE21" s="29">
        <f>3600/AD21</f>
        <v>360</v>
      </c>
      <c r="AF21" s="31">
        <f t="shared" si="39"/>
        <v>0</v>
      </c>
      <c r="AG21" s="1728"/>
      <c r="AH21" s="836"/>
      <c r="AI21" s="25">
        <f t="shared" si="40"/>
        <v>0</v>
      </c>
      <c r="AJ21" s="24">
        <f t="shared" si="9"/>
        <v>0</v>
      </c>
      <c r="AK21" s="379">
        <f t="shared" si="15"/>
        <v>0</v>
      </c>
      <c r="AL21" s="380">
        <f t="shared" si="41"/>
        <v>0</v>
      </c>
      <c r="AM21" s="134">
        <f t="shared" si="11"/>
        <v>0</v>
      </c>
      <c r="AN21" s="452"/>
      <c r="AO21" s="474">
        <f t="shared" si="42"/>
        <v>17</v>
      </c>
      <c r="AP21" s="473">
        <f t="shared" si="43"/>
        <v>1</v>
      </c>
      <c r="AQ21" s="473">
        <f t="shared" si="44"/>
        <v>1</v>
      </c>
      <c r="AR21" s="474">
        <f t="shared" si="45"/>
        <v>0.4556459151865515</v>
      </c>
      <c r="AS21" s="474">
        <f t="shared" si="46"/>
        <v>0.43285967973821066</v>
      </c>
      <c r="AT21" s="475"/>
      <c r="AU21" s="431">
        <f t="shared" si="47"/>
        <v>32</v>
      </c>
      <c r="AV21" s="250"/>
      <c r="AW21" s="267"/>
      <c r="AX21" s="462">
        <v>12</v>
      </c>
      <c r="AY21" s="479" t="e">
        <f>INDEX(B$10:B$81,MATCH(12,$C$10:$C$81,0))</f>
        <v>#N/A</v>
      </c>
      <c r="AZ21" s="538" t="e">
        <f>INDEX(N$10:N$81,MATCH(12,$C$10:$C$81,0))</f>
        <v>#N/A</v>
      </c>
      <c r="BA21" s="478" t="e">
        <f>INDEX(X$10:X$81,MATCH(12,$C$10:$C$81,0))</f>
        <v>#N/A</v>
      </c>
    </row>
    <row r="22" spans="1:53" s="249" customFormat="1" ht="13.5" customHeight="1">
      <c r="A22" s="1018" t="s">
        <v>78</v>
      </c>
      <c r="B22" s="1662"/>
      <c r="C22" s="1656"/>
      <c r="D22" s="1663"/>
      <c r="E22" s="805">
        <f t="shared" si="27"/>
      </c>
      <c r="F22" s="1682"/>
      <c r="G22" s="1683"/>
      <c r="H22" s="1684"/>
      <c r="I22" s="1679"/>
      <c r="J22" s="1684"/>
      <c r="K22" s="1667"/>
      <c r="L22" s="800">
        <f t="shared" si="13"/>
      </c>
      <c r="M22" s="1010"/>
      <c r="N22" s="707">
        <f t="shared" si="28"/>
        <v>0</v>
      </c>
      <c r="O22" s="710">
        <f t="shared" si="29"/>
        <v>0</v>
      </c>
      <c r="P22" s="799">
        <f t="shared" si="19"/>
        <v>0</v>
      </c>
      <c r="Q22" s="1008"/>
      <c r="R22" s="802">
        <f t="shared" si="30"/>
        <v>10</v>
      </c>
      <c r="S22" s="97">
        <f t="shared" si="31"/>
        <v>0</v>
      </c>
      <c r="T22" s="765">
        <f t="shared" si="32"/>
        <v>0</v>
      </c>
      <c r="U22" s="470">
        <f t="shared" si="33"/>
        <v>0</v>
      </c>
      <c r="V22" s="31">
        <f t="shared" si="48"/>
        <v>0</v>
      </c>
      <c r="W22" s="105">
        <f t="shared" si="34"/>
        <v>0</v>
      </c>
      <c r="X22" s="23">
        <f t="shared" si="35"/>
        <v>0</v>
      </c>
      <c r="Y22" s="32">
        <f t="shared" si="36"/>
        <v>0</v>
      </c>
      <c r="Z22" s="409">
        <f t="shared" si="37"/>
        <v>0</v>
      </c>
      <c r="AA22" s="171">
        <f t="shared" si="49"/>
        <v>0</v>
      </c>
      <c r="AB22" s="1717"/>
      <c r="AC22" s="1718"/>
      <c r="AD22" s="48">
        <f t="shared" si="38"/>
        <v>10</v>
      </c>
      <c r="AE22" s="29">
        <f aca="true" t="shared" si="50" ref="AE22:AE30">3600/AD22</f>
        <v>360</v>
      </c>
      <c r="AF22" s="31">
        <f t="shared" si="39"/>
        <v>0</v>
      </c>
      <c r="AG22" s="1727"/>
      <c r="AH22" s="836"/>
      <c r="AI22" s="25">
        <f t="shared" si="40"/>
        <v>0</v>
      </c>
      <c r="AJ22" s="24">
        <f t="shared" si="9"/>
        <v>0</v>
      </c>
      <c r="AK22" s="379">
        <f t="shared" si="15"/>
        <v>0</v>
      </c>
      <c r="AL22" s="380">
        <f t="shared" si="41"/>
        <v>0</v>
      </c>
      <c r="AM22" s="134" t="e">
        <f t="shared" si="11"/>
        <v>#DIV/0!</v>
      </c>
      <c r="AN22" s="452"/>
      <c r="AO22" s="474">
        <f t="shared" si="42"/>
        <v>0</v>
      </c>
      <c r="AP22" s="473">
        <f t="shared" si="43"/>
        <v>0</v>
      </c>
      <c r="AQ22" s="473">
        <f t="shared" si="44"/>
        <v>0</v>
      </c>
      <c r="AR22" s="474">
        <f t="shared" si="45"/>
        <v>0</v>
      </c>
      <c r="AS22" s="474">
        <f t="shared" si="46"/>
        <v>0</v>
      </c>
      <c r="AT22" s="475"/>
      <c r="AU22" s="431">
        <f t="shared" si="47"/>
        <v>0</v>
      </c>
      <c r="AV22" s="250"/>
      <c r="AW22" s="251"/>
      <c r="AX22" s="214"/>
      <c r="AY22" s="139"/>
      <c r="AZ22" s="463"/>
      <c r="BA22" s="464"/>
    </row>
    <row r="23" spans="1:53" s="249" customFormat="1" ht="12.75">
      <c r="A23" s="1018" t="s">
        <v>78</v>
      </c>
      <c r="B23" s="1655"/>
      <c r="C23" s="1657"/>
      <c r="D23" s="1664"/>
      <c r="E23" s="805">
        <f t="shared" si="27"/>
      </c>
      <c r="F23" s="1682"/>
      <c r="G23" s="1698"/>
      <c r="H23" s="1688"/>
      <c r="I23" s="1679"/>
      <c r="J23" s="1684"/>
      <c r="K23" s="1667"/>
      <c r="L23" s="800">
        <f t="shared" si="13"/>
      </c>
      <c r="M23" s="1010"/>
      <c r="N23" s="707">
        <f t="shared" si="28"/>
        <v>0</v>
      </c>
      <c r="O23" s="710">
        <f t="shared" si="29"/>
        <v>0</v>
      </c>
      <c r="P23" s="799">
        <f t="shared" si="19"/>
        <v>0</v>
      </c>
      <c r="Q23" s="1008"/>
      <c r="R23" s="802">
        <f t="shared" si="30"/>
        <v>10</v>
      </c>
      <c r="S23" s="97">
        <f t="shared" si="31"/>
        <v>0</v>
      </c>
      <c r="T23" s="765">
        <f t="shared" si="32"/>
        <v>0</v>
      </c>
      <c r="U23" s="467">
        <f t="shared" si="33"/>
        <v>0</v>
      </c>
      <c r="V23" s="31">
        <f t="shared" si="48"/>
        <v>0</v>
      </c>
      <c r="W23" s="105">
        <f t="shared" si="34"/>
        <v>0</v>
      </c>
      <c r="X23" s="23">
        <f t="shared" si="35"/>
        <v>0</v>
      </c>
      <c r="Y23" s="32">
        <f t="shared" si="36"/>
        <v>0</v>
      </c>
      <c r="Z23" s="409">
        <f t="shared" si="37"/>
        <v>0</v>
      </c>
      <c r="AA23" s="171">
        <f t="shared" si="49"/>
        <v>0</v>
      </c>
      <c r="AB23" s="1717"/>
      <c r="AC23" s="1718"/>
      <c r="AD23" s="48">
        <f t="shared" si="38"/>
        <v>10</v>
      </c>
      <c r="AE23" s="29">
        <f t="shared" si="50"/>
        <v>360</v>
      </c>
      <c r="AF23" s="31">
        <f t="shared" si="39"/>
        <v>0</v>
      </c>
      <c r="AG23" s="1727"/>
      <c r="AH23" s="836"/>
      <c r="AI23" s="25">
        <f t="shared" si="40"/>
        <v>0</v>
      </c>
      <c r="AJ23" s="24">
        <f t="shared" si="9"/>
        <v>0</v>
      </c>
      <c r="AK23" s="379">
        <f t="shared" si="15"/>
        <v>0</v>
      </c>
      <c r="AL23" s="380">
        <f t="shared" si="41"/>
        <v>0</v>
      </c>
      <c r="AM23" s="134" t="e">
        <f t="shared" si="11"/>
        <v>#DIV/0!</v>
      </c>
      <c r="AN23" s="452"/>
      <c r="AO23" s="474">
        <f t="shared" si="42"/>
        <v>0</v>
      </c>
      <c r="AP23" s="473">
        <f t="shared" si="43"/>
        <v>0</v>
      </c>
      <c r="AQ23" s="473">
        <f t="shared" si="44"/>
        <v>0</v>
      </c>
      <c r="AR23" s="474">
        <f t="shared" si="45"/>
        <v>0</v>
      </c>
      <c r="AS23" s="474">
        <f t="shared" si="46"/>
        <v>0</v>
      </c>
      <c r="AT23" s="475"/>
      <c r="AU23" s="431">
        <f t="shared" si="47"/>
        <v>0</v>
      </c>
      <c r="AV23" s="250"/>
      <c r="AW23" s="251"/>
      <c r="AX23" s="214"/>
      <c r="AY23" s="139"/>
      <c r="AZ23" s="433"/>
      <c r="BA23" s="434"/>
    </row>
    <row r="24" spans="1:139" s="249" customFormat="1" ht="12.75">
      <c r="A24" s="1018" t="s">
        <v>78</v>
      </c>
      <c r="B24" s="1655"/>
      <c r="C24" s="1657"/>
      <c r="D24" s="1654"/>
      <c r="E24" s="805">
        <f t="shared" si="27"/>
      </c>
      <c r="F24" s="1699"/>
      <c r="G24" s="1700"/>
      <c r="H24" s="1701"/>
      <c r="I24" s="1679"/>
      <c r="J24" s="1688"/>
      <c r="K24" s="1667"/>
      <c r="L24" s="800">
        <f t="shared" si="13"/>
      </c>
      <c r="M24" s="1010"/>
      <c r="N24" s="707">
        <f t="shared" si="28"/>
        <v>0</v>
      </c>
      <c r="O24" s="710">
        <f t="shared" si="29"/>
        <v>0</v>
      </c>
      <c r="P24" s="799">
        <f t="shared" si="19"/>
        <v>0</v>
      </c>
      <c r="Q24" s="1008"/>
      <c r="R24" s="802">
        <f t="shared" si="30"/>
        <v>10</v>
      </c>
      <c r="S24" s="97">
        <f t="shared" si="31"/>
        <v>0</v>
      </c>
      <c r="T24" s="765">
        <f t="shared" si="32"/>
        <v>0</v>
      </c>
      <c r="U24" s="467">
        <f t="shared" si="33"/>
        <v>0</v>
      </c>
      <c r="V24" s="31">
        <f t="shared" si="48"/>
        <v>0</v>
      </c>
      <c r="W24" s="105">
        <f t="shared" si="34"/>
        <v>0</v>
      </c>
      <c r="X24" s="54">
        <f t="shared" si="35"/>
        <v>0</v>
      </c>
      <c r="Y24" s="32">
        <f t="shared" si="36"/>
        <v>0</v>
      </c>
      <c r="Z24" s="409">
        <f t="shared" si="37"/>
        <v>0</v>
      </c>
      <c r="AA24" s="171">
        <f t="shared" si="49"/>
        <v>0</v>
      </c>
      <c r="AB24" s="1717"/>
      <c r="AC24" s="1718"/>
      <c r="AD24" s="48">
        <f t="shared" si="38"/>
        <v>10</v>
      </c>
      <c r="AE24" s="29">
        <f t="shared" si="50"/>
        <v>360</v>
      </c>
      <c r="AF24" s="31">
        <f t="shared" si="39"/>
        <v>0</v>
      </c>
      <c r="AG24" s="1729"/>
      <c r="AH24" s="840"/>
      <c r="AI24" s="25">
        <f t="shared" si="40"/>
        <v>0</v>
      </c>
      <c r="AJ24" s="24">
        <f t="shared" si="9"/>
        <v>0</v>
      </c>
      <c r="AK24" s="379">
        <f t="shared" si="15"/>
        <v>0</v>
      </c>
      <c r="AL24" s="380">
        <f t="shared" si="41"/>
        <v>0</v>
      </c>
      <c r="AM24" s="381" t="e">
        <f t="shared" si="11"/>
        <v>#DIV/0!</v>
      </c>
      <c r="AN24" s="452"/>
      <c r="AO24" s="474">
        <f t="shared" si="42"/>
        <v>0</v>
      </c>
      <c r="AP24" s="473">
        <f t="shared" si="43"/>
        <v>0</v>
      </c>
      <c r="AQ24" s="473">
        <f t="shared" si="44"/>
        <v>0</v>
      </c>
      <c r="AR24" s="474">
        <f t="shared" si="45"/>
        <v>0</v>
      </c>
      <c r="AS24" s="474">
        <f t="shared" si="46"/>
        <v>0</v>
      </c>
      <c r="AT24" s="473"/>
      <c r="AU24" s="431">
        <f t="shared" si="47"/>
        <v>0</v>
      </c>
      <c r="AV24" s="250"/>
      <c r="AW24" s="251"/>
      <c r="AX24" s="216"/>
      <c r="AY24" s="77"/>
      <c r="AZ24" s="268"/>
      <c r="BA24" s="268"/>
      <c r="BB24" s="268"/>
      <c r="BC24" s="268"/>
      <c r="BD24" s="268"/>
      <c r="BE24" s="268"/>
      <c r="BF24" s="268"/>
      <c r="BG24" s="268"/>
      <c r="BH24" s="268"/>
      <c r="BI24" s="268"/>
      <c r="BJ24" s="268"/>
      <c r="BK24" s="268"/>
      <c r="BL24" s="268"/>
      <c r="BM24" s="268"/>
      <c r="BN24" s="268"/>
      <c r="BO24" s="268"/>
      <c r="BP24" s="268"/>
      <c r="BQ24" s="268"/>
      <c r="BR24" s="268"/>
      <c r="BS24" s="268"/>
      <c r="BT24" s="268"/>
      <c r="BU24" s="268"/>
      <c r="BV24" s="268"/>
      <c r="BW24" s="268"/>
      <c r="BX24" s="268"/>
      <c r="BY24" s="268"/>
      <c r="BZ24" s="268"/>
      <c r="CA24" s="268"/>
      <c r="CB24" s="268"/>
      <c r="CC24" s="268"/>
      <c r="CD24" s="268"/>
      <c r="CE24" s="268"/>
      <c r="CF24" s="268"/>
      <c r="CG24" s="268"/>
      <c r="CH24" s="268"/>
      <c r="CI24" s="268"/>
      <c r="CJ24" s="268"/>
      <c r="CK24" s="268"/>
      <c r="CL24" s="268"/>
      <c r="CM24" s="268"/>
      <c r="CN24" s="268"/>
      <c r="CO24" s="268"/>
      <c r="CP24" s="268"/>
      <c r="CQ24" s="268"/>
      <c r="CR24" s="268"/>
      <c r="CS24" s="268"/>
      <c r="CT24" s="268"/>
      <c r="CU24" s="268"/>
      <c r="CV24" s="268"/>
      <c r="CW24" s="268"/>
      <c r="CX24" s="268"/>
      <c r="CY24" s="268"/>
      <c r="CZ24" s="268"/>
      <c r="DA24" s="268"/>
      <c r="DB24" s="268"/>
      <c r="DC24" s="268"/>
      <c r="DD24" s="268"/>
      <c r="DE24" s="268"/>
      <c r="DF24" s="268"/>
      <c r="DG24" s="268"/>
      <c r="DH24" s="268"/>
      <c r="DI24" s="268"/>
      <c r="DJ24" s="268"/>
      <c r="DK24" s="268"/>
      <c r="DL24" s="268"/>
      <c r="DM24" s="268"/>
      <c r="DN24" s="268"/>
      <c r="DO24" s="268"/>
      <c r="DP24" s="268"/>
      <c r="DQ24" s="268"/>
      <c r="DR24" s="268"/>
      <c r="DS24" s="268"/>
      <c r="DT24" s="268"/>
      <c r="DU24" s="268"/>
      <c r="DV24" s="268"/>
      <c r="DW24" s="268"/>
      <c r="DX24" s="268"/>
      <c r="DY24" s="268"/>
      <c r="DZ24" s="268"/>
      <c r="EA24" s="268"/>
      <c r="EB24" s="268"/>
      <c r="EC24" s="268"/>
      <c r="ED24" s="268"/>
      <c r="EE24" s="268"/>
      <c r="EF24" s="268"/>
      <c r="EG24" s="268"/>
      <c r="EH24" s="268"/>
      <c r="EI24" s="268"/>
    </row>
    <row r="25" spans="1:139" s="432" customFormat="1" ht="12.75">
      <c r="A25" s="1018" t="s">
        <v>78</v>
      </c>
      <c r="B25" s="1655"/>
      <c r="C25" s="1657"/>
      <c r="D25" s="1654"/>
      <c r="E25" s="805">
        <f t="shared" si="27"/>
      </c>
      <c r="F25" s="1682"/>
      <c r="G25" s="1683"/>
      <c r="H25" s="1684"/>
      <c r="I25" s="1679"/>
      <c r="J25" s="1684"/>
      <c r="K25" s="1667"/>
      <c r="L25" s="800">
        <f t="shared" si="13"/>
      </c>
      <c r="M25" s="1010"/>
      <c r="N25" s="707">
        <f t="shared" si="28"/>
        <v>0</v>
      </c>
      <c r="O25" s="710">
        <f t="shared" si="29"/>
        <v>0</v>
      </c>
      <c r="P25" s="799">
        <f t="shared" si="19"/>
        <v>0</v>
      </c>
      <c r="Q25" s="1008"/>
      <c r="R25" s="802">
        <f t="shared" si="30"/>
        <v>10</v>
      </c>
      <c r="S25" s="97">
        <f t="shared" si="31"/>
        <v>0</v>
      </c>
      <c r="T25" s="765">
        <f t="shared" si="32"/>
        <v>0</v>
      </c>
      <c r="U25" s="467">
        <f t="shared" si="33"/>
        <v>0</v>
      </c>
      <c r="V25" s="31">
        <f t="shared" si="48"/>
        <v>0</v>
      </c>
      <c r="W25" s="105">
        <f t="shared" si="34"/>
        <v>0</v>
      </c>
      <c r="X25" s="23">
        <f t="shared" si="35"/>
        <v>0</v>
      </c>
      <c r="Y25" s="32">
        <f t="shared" si="36"/>
        <v>0</v>
      </c>
      <c r="Z25" s="409">
        <f t="shared" si="37"/>
        <v>0</v>
      </c>
      <c r="AA25" s="171">
        <f t="shared" si="49"/>
        <v>0</v>
      </c>
      <c r="AB25" s="1717"/>
      <c r="AC25" s="1718"/>
      <c r="AD25" s="48">
        <f t="shared" si="38"/>
        <v>10</v>
      </c>
      <c r="AE25" s="29">
        <f t="shared" si="50"/>
        <v>360</v>
      </c>
      <c r="AF25" s="31">
        <f t="shared" si="39"/>
        <v>0</v>
      </c>
      <c r="AG25" s="1728"/>
      <c r="AH25" s="836"/>
      <c r="AI25" s="25">
        <f t="shared" si="40"/>
        <v>0</v>
      </c>
      <c r="AJ25" s="24">
        <f t="shared" si="9"/>
        <v>0</v>
      </c>
      <c r="AK25" s="379">
        <f t="shared" si="15"/>
        <v>0</v>
      </c>
      <c r="AL25" s="380">
        <f t="shared" si="41"/>
        <v>0</v>
      </c>
      <c r="AM25" s="381" t="e">
        <f t="shared" si="11"/>
        <v>#DIV/0!</v>
      </c>
      <c r="AN25" s="452"/>
      <c r="AO25" s="474">
        <f t="shared" si="42"/>
        <v>0</v>
      </c>
      <c r="AP25" s="473">
        <f t="shared" si="43"/>
        <v>0</v>
      </c>
      <c r="AQ25" s="473">
        <f t="shared" si="44"/>
        <v>0</v>
      </c>
      <c r="AR25" s="474">
        <f t="shared" si="45"/>
        <v>0</v>
      </c>
      <c r="AS25" s="474">
        <f t="shared" si="46"/>
        <v>0</v>
      </c>
      <c r="AT25" s="473"/>
      <c r="AU25" s="431">
        <f t="shared" si="47"/>
        <v>0</v>
      </c>
      <c r="AV25" s="250"/>
      <c r="AW25" s="251"/>
      <c r="AX25" s="356"/>
      <c r="AY25" s="530"/>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68"/>
      <c r="CL25" s="268"/>
      <c r="CM25" s="268"/>
      <c r="CN25" s="268"/>
      <c r="CO25" s="268"/>
      <c r="CP25" s="268"/>
      <c r="CQ25" s="268"/>
      <c r="CR25" s="268"/>
      <c r="CS25" s="268"/>
      <c r="CT25" s="268"/>
      <c r="CU25" s="268"/>
      <c r="CV25" s="268"/>
      <c r="CW25" s="268"/>
      <c r="CX25" s="268"/>
      <c r="CY25" s="268"/>
      <c r="CZ25" s="268"/>
      <c r="DA25" s="268"/>
      <c r="DB25" s="268"/>
      <c r="DC25" s="268"/>
      <c r="DD25" s="268"/>
      <c r="DE25" s="268"/>
      <c r="DF25" s="268"/>
      <c r="DG25" s="268"/>
      <c r="DH25" s="268"/>
      <c r="DI25" s="268"/>
      <c r="DJ25" s="268"/>
      <c r="DK25" s="268"/>
      <c r="DL25" s="268"/>
      <c r="DM25" s="268"/>
      <c r="DN25" s="268"/>
      <c r="DO25" s="268"/>
      <c r="DP25" s="268"/>
      <c r="DQ25" s="268"/>
      <c r="DR25" s="268"/>
      <c r="DS25" s="268"/>
      <c r="DT25" s="268"/>
      <c r="DU25" s="268"/>
      <c r="DV25" s="268"/>
      <c r="DW25" s="268"/>
      <c r="DX25" s="268"/>
      <c r="DY25" s="268"/>
      <c r="DZ25" s="268"/>
      <c r="EA25" s="268"/>
      <c r="EB25" s="268"/>
      <c r="EC25" s="268"/>
      <c r="ED25" s="268"/>
      <c r="EE25" s="268"/>
      <c r="EF25" s="268"/>
      <c r="EG25" s="268"/>
      <c r="EH25" s="268"/>
      <c r="EI25" s="268"/>
    </row>
    <row r="26" spans="1:51" s="3" customFormat="1" ht="12" customHeight="1">
      <c r="A26" s="1002" t="s">
        <v>78</v>
      </c>
      <c r="B26" s="1655"/>
      <c r="C26" s="1657"/>
      <c r="D26" s="1654"/>
      <c r="E26" s="805">
        <f t="shared" si="27"/>
      </c>
      <c r="F26" s="1682"/>
      <c r="G26" s="1683"/>
      <c r="H26" s="1684"/>
      <c r="I26" s="1679"/>
      <c r="J26" s="1684"/>
      <c r="K26" s="1667"/>
      <c r="L26" s="800">
        <f t="shared" si="13"/>
      </c>
      <c r="M26" s="1010"/>
      <c r="N26" s="707">
        <f t="shared" si="28"/>
        <v>0</v>
      </c>
      <c r="O26" s="710">
        <f t="shared" si="29"/>
        <v>0</v>
      </c>
      <c r="P26" s="799">
        <f t="shared" si="19"/>
        <v>0</v>
      </c>
      <c r="Q26" s="1008"/>
      <c r="R26" s="802">
        <f t="shared" si="30"/>
        <v>10</v>
      </c>
      <c r="S26" s="97">
        <f t="shared" si="31"/>
        <v>0</v>
      </c>
      <c r="T26" s="765">
        <f t="shared" si="32"/>
        <v>0</v>
      </c>
      <c r="U26" s="467">
        <f t="shared" si="33"/>
        <v>0</v>
      </c>
      <c r="V26" s="31">
        <f t="shared" si="48"/>
        <v>0</v>
      </c>
      <c r="W26" s="105">
        <f t="shared" si="34"/>
        <v>0</v>
      </c>
      <c r="X26" s="23">
        <f t="shared" si="35"/>
        <v>0</v>
      </c>
      <c r="Y26" s="32">
        <f t="shared" si="36"/>
        <v>0</v>
      </c>
      <c r="Z26" s="409">
        <f t="shared" si="37"/>
        <v>0</v>
      </c>
      <c r="AA26" s="171">
        <f t="shared" si="49"/>
        <v>0</v>
      </c>
      <c r="AB26" s="1719"/>
      <c r="AC26" s="1720"/>
      <c r="AD26" s="48">
        <f t="shared" si="38"/>
        <v>10</v>
      </c>
      <c r="AE26" s="29">
        <f t="shared" si="50"/>
        <v>360</v>
      </c>
      <c r="AF26" s="31">
        <f t="shared" si="39"/>
        <v>0</v>
      </c>
      <c r="AG26" s="1728"/>
      <c r="AH26" s="836"/>
      <c r="AI26" s="25">
        <f t="shared" si="40"/>
        <v>0</v>
      </c>
      <c r="AJ26" s="24">
        <f t="shared" si="9"/>
        <v>0</v>
      </c>
      <c r="AK26" s="379">
        <f t="shared" si="15"/>
        <v>0</v>
      </c>
      <c r="AL26" s="380">
        <f t="shared" si="41"/>
        <v>0</v>
      </c>
      <c r="AM26" s="381" t="e">
        <f t="shared" si="11"/>
        <v>#DIV/0!</v>
      </c>
      <c r="AN26" s="62"/>
      <c r="AO26" s="474">
        <f t="shared" si="42"/>
        <v>0</v>
      </c>
      <c r="AP26" s="473">
        <f t="shared" si="43"/>
        <v>0</v>
      </c>
      <c r="AQ26" s="473">
        <f t="shared" si="44"/>
        <v>0</v>
      </c>
      <c r="AR26" s="474">
        <f t="shared" si="45"/>
        <v>0</v>
      </c>
      <c r="AS26" s="474">
        <f t="shared" si="46"/>
        <v>0</v>
      </c>
      <c r="AT26" s="475"/>
      <c r="AU26" s="246">
        <f t="shared" si="47"/>
        <v>0</v>
      </c>
      <c r="AV26" s="70"/>
      <c r="AW26" s="47"/>
      <c r="AX26" s="107"/>
      <c r="AY26" s="2"/>
    </row>
    <row r="27" spans="1:51" s="52" customFormat="1" ht="12" customHeight="1">
      <c r="A27" s="256">
        <v>2</v>
      </c>
      <c r="B27" s="253">
        <f>IF($B19="","",IF($B20="",B19,IF($B21="",B20,IF($B22="",B21,IF($B23="",B22,IF($B24="",B23,IF($B25="",B24,IF($B26="",B25,B26))))))))</f>
        <v>6</v>
      </c>
      <c r="C27" s="968"/>
      <c r="D27" s="966" t="str">
        <f>IF($B19="","",IF($B20="",D19,IF($B21="",D20,IF($B22="",D21,IF($B23="",D22,IF($B24="",D23,IF($B25="",D24,IF($B26="",D25,D26))))))))</f>
        <v>CP-2 Colvos Light #4</v>
      </c>
      <c r="E27" s="627"/>
      <c r="F27" s="544">
        <f>IF($B19="","",IF($B20="",F19,IF($B21="",F20,IF($B22="",F21,IF($B23="",F22,IF($B24="",F23,IF($B25="",F24,IF($B26="",F25,F26))))))))</f>
        <v>0</v>
      </c>
      <c r="G27" s="545">
        <f>IF($B19="","",IF($B20="",G19,IF($B21="",G20,IF($B22="",G21,IF($B23="",G22,IF($B24="",G23,IF($B25="",G24,IF($B26="",G25,G26))))))))</f>
        <v>0</v>
      </c>
      <c r="H27" s="540"/>
      <c r="I27" s="503">
        <f>IF($B19="","",IF($B20="",I19,IF($B21="",I20,IF($B22="",I21,IF($B23="",I22,IF($B24="",I23,IF($B25="",I24,IF($B26="",I25,I26))))))))</f>
        <v>0</v>
      </c>
      <c r="J27" s="540">
        <f>IF($B19="","",IF($B20="",J19,IF($B21="",J20,IF($B22="",J21,IF($B23="",J22,IF($B24="",J23,IF($B25="",J24,IF($B26="",J25,J26))))))))</f>
        <v>0</v>
      </c>
      <c r="K27" s="739"/>
      <c r="L27" s="801"/>
      <c r="M27" s="708"/>
      <c r="N27" s="709">
        <f>IF($B19="","",IF($B20="",N19,IF($B21="",N20,IF($B22="",N21,IF($B23="",N22,IF($B24="",N23,IF($B25="",N24,IF($B26="",N25,N26))))))))</f>
        <v>32</v>
      </c>
      <c r="O27" s="767"/>
      <c r="P27" s="967"/>
      <c r="Q27" s="255">
        <f>SUM(Q19:Q26)</f>
        <v>3.4281870000000003</v>
      </c>
      <c r="R27" s="803">
        <f>Q27*3600/S27</f>
        <v>10.001193841166938</v>
      </c>
      <c r="S27" s="469">
        <f>SUM(S19:S26)</f>
        <v>1234</v>
      </c>
      <c r="T27" s="469">
        <f>SUM(T19:T26)</f>
        <v>6</v>
      </c>
      <c r="U27" s="469">
        <f>SUM(U19:U26)</f>
        <v>0</v>
      </c>
      <c r="V27" s="252" t="str">
        <f>IF($B19="","",IF($B20="",$A19,IF($B21="",$A20,IF($B22="",$A21,IF($B23="",$A22,IF($B24="",$A23,IF($B25="",$A24,IF($B26="",$A25,$A26))))))))</f>
        <v>C</v>
      </c>
      <c r="W27" s="208">
        <f>ROUND(SUM(W19:W26),0)</f>
        <v>1240</v>
      </c>
      <c r="X27" s="257">
        <f t="shared" si="35"/>
        <v>0.014351884</v>
      </c>
      <c r="Y27" s="258">
        <f>TIMEVALUE(Y18)+TIMEVALUE(X27)</f>
        <v>0.5502545399777777</v>
      </c>
      <c r="Z27" s="410"/>
      <c r="AA27" s="414"/>
      <c r="AB27" s="584"/>
      <c r="AC27" s="585"/>
      <c r="AD27" s="415">
        <f>(AD19*$Q19+AD20*$Q20+AD21*$Q21+AD22*$Q22+AD23*$Q23+AD24*$Q24+AD25*$Q25+AD26*$Q26)/$Q27</f>
        <v>9.999999999999998</v>
      </c>
      <c r="AE27" s="554">
        <f>(AE19*$Q19+AE20*$Q20+AE21*$Q21+AE22*$Q22+AE23*$Q23+AE24*$Q24+AE25*$Q25+AE26*$Q26)/$Q27</f>
        <v>360</v>
      </c>
      <c r="AF27" s="554">
        <f>(AF19*$Q19+AF20*$Q20+AF21*$Q21+AF22*$Q22+AF23*$Q23+AF24*$Q24+AF25*$Q25+AF26*$Q26)/$Q27</f>
        <v>0</v>
      </c>
      <c r="AG27" s="254">
        <f>IF($B19="",0,IF($B20="",AG19,IF($B21="",AG20,IF($B22="",AG21,IF($B23="",AG22,IF($B24="",AG23,IF($B25="",AG24,IF($B26="",AG25,AG26))))))))</f>
        <v>0</v>
      </c>
      <c r="AH27" s="1726"/>
      <c r="AI27" s="136">
        <f>IF(TIMEVALUE(AG27)=0,0,TIMEVALUE(AG27)-TIMEVALUE(AG18)-TIMEVALUE(AH27))</f>
        <v>0</v>
      </c>
      <c r="AJ27" s="140">
        <f t="shared" si="9"/>
        <v>0</v>
      </c>
      <c r="AK27" s="415">
        <f>(AK19*$Q19+AK20*$Q20+AK21*$Q21+AK22*$Q22+AK23*$Q23+AK24*$Q24+AK25*$Q25+AK26*$Q26)/$Q27</f>
        <v>0</v>
      </c>
      <c r="AL27" s="415">
        <f>(AL19*$Q19+AL20*$Q20+AL21*$Q21+AL22*$Q22+AL23*$Q23+AL24*$Q24+AL25*$Q25+AL26*$Q26)/$Q27</f>
        <v>0</v>
      </c>
      <c r="AM27" s="382">
        <f t="shared" si="11"/>
        <v>0</v>
      </c>
      <c r="AN27" s="453"/>
      <c r="AO27" s="481"/>
      <c r="AP27" s="482"/>
      <c r="AQ27" s="482"/>
      <c r="AR27" s="481"/>
      <c r="AS27" s="482"/>
      <c r="AT27" s="482"/>
      <c r="AU27" s="247"/>
      <c r="AV27" s="75"/>
      <c r="AW27" s="57"/>
      <c r="AX27" s="480"/>
      <c r="AY27" s="732"/>
    </row>
    <row r="28" spans="1:139" s="249" customFormat="1" ht="12.75">
      <c r="A28" s="1013" t="s">
        <v>78</v>
      </c>
      <c r="B28" s="1660">
        <v>7</v>
      </c>
      <c r="C28" s="1660">
        <v>2</v>
      </c>
      <c r="D28" s="1665" t="s">
        <v>415</v>
      </c>
      <c r="E28" s="961">
        <f aca="true" t="shared" si="51" ref="E28:E35">IF(C28="","",X28)</f>
        <v>0.0026273207</v>
      </c>
      <c r="F28" s="1682"/>
      <c r="G28" s="1683"/>
      <c r="H28" s="1688"/>
      <c r="I28" s="1679"/>
      <c r="J28" s="1680"/>
      <c r="K28" s="1702">
        <v>135.020714</v>
      </c>
      <c r="L28" s="800">
        <f t="shared" si="13"/>
        <v>135.020714</v>
      </c>
      <c r="M28" s="1009"/>
      <c r="N28" s="707">
        <f aca="true" t="shared" si="52" ref="N28:N35">IF(K28=0,0,IF(AU28&gt;360,AU28-360,IF(AU28&lt;0,AU28+360,AU28)))</f>
        <v>135</v>
      </c>
      <c r="O28" s="710">
        <f aca="true" t="shared" si="53" ref="O28:O35">IF(K28=0,0,ABS(IF(ABS(N28-N27)&lt;180.1,ABS(N28-N27),(IF(N28-N27&gt;180,(360+N27-N28),(360+N28-N27))))))</f>
        <v>103</v>
      </c>
      <c r="P28" s="769">
        <f t="shared" si="19"/>
        <v>4.141049374014305</v>
      </c>
      <c r="Q28" s="1007">
        <v>0.600471</v>
      </c>
      <c r="R28" s="802">
        <f aca="true" t="shared" si="54" ref="R28:R35">IF(A28="SLOW",$J$5,$J$4)</f>
        <v>10</v>
      </c>
      <c r="S28" s="97">
        <f aca="true" t="shared" si="55" ref="S28:S35">ROUND(Q28*3600/R28,0)</f>
        <v>216</v>
      </c>
      <c r="T28" s="765">
        <f aca="true" t="shared" si="56" ref="T28:T35">IF(K28=0,0,IF(AO28&lt;0,AP28,AQ28))</f>
        <v>11</v>
      </c>
      <c r="U28" s="467">
        <f aca="true" t="shared" si="57" ref="U28:U35">ROUND(AF28*Q28,0)</f>
        <v>0</v>
      </c>
      <c r="V28" s="31">
        <f>IF($B28="",0,IF($A28=$A26,0,IF($A28=V27,0,(IF($A28="SLOW",P$3,P$4)))))</f>
        <v>0</v>
      </c>
      <c r="W28" s="105">
        <f aca="true" t="shared" si="58" ref="W28:W35">ROUND(S28+T28+U28+V28,0)</f>
        <v>227</v>
      </c>
      <c r="X28" s="23">
        <f aca="true" t="shared" si="59" ref="X28:X36">W28*0.0000115741</f>
        <v>0.0026273207</v>
      </c>
      <c r="Y28" s="32">
        <f aca="true" t="shared" si="60" ref="Y28:Y35">IF(W28=0,0,TIMEVALUE(Y27)+TIMEVALUE(X28))</f>
        <v>0.5528818606777778</v>
      </c>
      <c r="Z28" s="409">
        <f aca="true" t="shared" si="61" ref="Z28:Z35">IF(Y28=0,0,AVERAGE(Y28,Y27))</f>
        <v>0.5515682003277778</v>
      </c>
      <c r="AA28" s="171">
        <f>B28</f>
        <v>7</v>
      </c>
      <c r="AB28" s="1730"/>
      <c r="AC28" s="1731"/>
      <c r="AD28" s="48">
        <f aca="true" t="shared" si="62" ref="AD28:AD35">(AC28*COS((AB28-K28)/57.29))+SQRT((AC28*COS((AB28-K28)/57.29))*(AC28*COS((AB28-K28)/57.29))-(AC28*AC28)+(R28*R28))</f>
        <v>10</v>
      </c>
      <c r="AE28" s="29">
        <f t="shared" si="50"/>
        <v>360</v>
      </c>
      <c r="AF28" s="31">
        <f aca="true" t="shared" si="63" ref="AF28:AF35">AE28-(3600/R28)</f>
        <v>0</v>
      </c>
      <c r="AG28" s="1727"/>
      <c r="AH28" s="836"/>
      <c r="AI28" s="25">
        <f aca="true" t="shared" si="64" ref="AI28:AI35">IF(TIMEVALUE(AG28)=0,0,TIMEVALUE(AG28)-TIMEVALUE(AG27)-TIMEVALUE(AH28))</f>
        <v>0</v>
      </c>
      <c r="AJ28" s="24">
        <f t="shared" si="9"/>
        <v>0</v>
      </c>
      <c r="AK28" s="379">
        <f t="shared" si="15"/>
        <v>0</v>
      </c>
      <c r="AL28" s="380">
        <f aca="true" t="shared" si="65" ref="AL28:AL35">IF(A28="SLOW",AD28-$J$5,AD28-$J$4)</f>
        <v>0</v>
      </c>
      <c r="AM28" s="134">
        <f t="shared" si="11"/>
        <v>0</v>
      </c>
      <c r="AN28" s="452"/>
      <c r="AO28" s="474">
        <f aca="true" t="shared" si="66" ref="AO28:AO35">IF(K28=0,0,IF(ABS(N28-N27)&gt;180,IF(N28&gt;N27,N28-N27-360,N28-N27+360),N28-N27))</f>
        <v>103</v>
      </c>
      <c r="AP28" s="473">
        <f aca="true" t="shared" si="67" ref="AP28:AP35">ROUND(IF(AO28=0,0,(ABS(AO28)*(1/$R$4+0.03333)-(57.3/$R$4)*SIN(ABS(AO28/57.3)))),0)</f>
        <v>13</v>
      </c>
      <c r="AQ28" s="473">
        <f aca="true" t="shared" si="68" ref="AQ28:AQ35">ROUND(IF(AO28=0,0,(ABS(AO28)*(1/$S$4+0.03333)-(57.3/$S$4)*SIN(ABS(AO28/57.3)))),0)</f>
        <v>11</v>
      </c>
      <c r="AR28" s="474">
        <f aca="true" t="shared" si="69" ref="AR28:AR35">IF(K28="",0,((32.3*$R28/$R$4)*(1-COS(ABS(AO28)/57.3))+2.252*$R28*SIN(ABS(AO28)/57.3))/(2025*TAN($Q28/57.3)))</f>
        <v>4.7624560533203235</v>
      </c>
      <c r="AS28" s="474">
        <f aca="true" t="shared" si="70" ref="AS28:AS35">IF(K28="",0,((32.3*$R28/$S$4)*(1-COS(ABS(AO28)/57.3))+2.252*$R28*SIN(ABS(AO28)/57.3))/(2025*TAN($Q28/57.3)))</f>
        <v>4.141049374014305</v>
      </c>
      <c r="AT28" s="473"/>
      <c r="AU28" s="431">
        <f aca="true" t="shared" si="71" ref="AU28:AU35">ROUND(K28-57.29*ASIN(AC28/R28*SIN((AB28-K28)/57.29))+$R$3+M28,0)</f>
        <v>135</v>
      </c>
      <c r="AV28" s="306">
        <f>IF(K26&lt;&gt;0,K26,IF(K25&lt;&gt;0,K25,IF(K24&lt;&gt;0,K24,IF(K23&lt;&gt;0,K23,IF(K22&lt;&gt;0,K22,IF(K21&lt;&gt;0,K21,IF(K20&lt;&gt;0,K20,K19)))))))</f>
        <v>31.653665</v>
      </c>
      <c r="AW28" s="267"/>
      <c r="AX28" s="356"/>
      <c r="AY28" s="530"/>
      <c r="AZ28" s="268"/>
      <c r="BA28" s="268"/>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8"/>
      <c r="BY28" s="268"/>
      <c r="BZ28" s="268"/>
      <c r="CA28" s="268"/>
      <c r="CB28" s="268"/>
      <c r="CC28" s="268"/>
      <c r="CD28" s="268"/>
      <c r="CE28" s="268"/>
      <c r="CF28" s="268"/>
      <c r="CG28" s="268"/>
      <c r="CH28" s="268"/>
      <c r="CI28" s="268"/>
      <c r="CJ28" s="268"/>
      <c r="CK28" s="268"/>
      <c r="CL28" s="268"/>
      <c r="CM28" s="268"/>
      <c r="CN28" s="268"/>
      <c r="CO28" s="268"/>
      <c r="CP28" s="268"/>
      <c r="CQ28" s="268"/>
      <c r="CR28" s="268"/>
      <c r="CS28" s="268"/>
      <c r="CT28" s="268"/>
      <c r="CU28" s="268"/>
      <c r="CV28" s="268"/>
      <c r="CW28" s="268"/>
      <c r="CX28" s="268"/>
      <c r="CY28" s="268"/>
      <c r="CZ28" s="268"/>
      <c r="DA28" s="268"/>
      <c r="DB28" s="268"/>
      <c r="DC28" s="268"/>
      <c r="DD28" s="268"/>
      <c r="DE28" s="268"/>
      <c r="DF28" s="268"/>
      <c r="DG28" s="268"/>
      <c r="DH28" s="268"/>
      <c r="DI28" s="268"/>
      <c r="DJ28" s="268"/>
      <c r="DK28" s="268"/>
      <c r="DL28" s="268"/>
      <c r="DM28" s="268"/>
      <c r="DN28" s="268"/>
      <c r="DO28" s="268"/>
      <c r="DP28" s="268"/>
      <c r="DQ28" s="268"/>
      <c r="DR28" s="268"/>
      <c r="DS28" s="268"/>
      <c r="DT28" s="268"/>
      <c r="DU28" s="268"/>
      <c r="DV28" s="268"/>
      <c r="DW28" s="268"/>
      <c r="DX28" s="268"/>
      <c r="DY28" s="268"/>
      <c r="DZ28" s="268"/>
      <c r="EA28" s="268"/>
      <c r="EB28" s="268"/>
      <c r="EC28" s="268"/>
      <c r="ED28" s="268"/>
      <c r="EE28" s="268"/>
      <c r="EF28" s="268"/>
      <c r="EG28" s="268"/>
      <c r="EH28" s="268"/>
      <c r="EI28" s="268"/>
    </row>
    <row r="29" spans="1:139" s="249" customFormat="1" ht="12.75">
      <c r="A29" s="1013" t="s">
        <v>78</v>
      </c>
      <c r="B29" s="1660">
        <v>8</v>
      </c>
      <c r="C29" s="1660"/>
      <c r="D29" s="1665" t="s">
        <v>425</v>
      </c>
      <c r="E29" s="961">
        <f t="shared" si="51"/>
      </c>
      <c r="F29" s="1676"/>
      <c r="G29" s="1698"/>
      <c r="H29" s="1684"/>
      <c r="I29" s="1679"/>
      <c r="J29" s="1685"/>
      <c r="K29" s="1681">
        <v>197.594299</v>
      </c>
      <c r="L29" s="800">
        <f t="shared" si="13"/>
        <v>197.594299</v>
      </c>
      <c r="M29" s="1010"/>
      <c r="N29" s="707">
        <f t="shared" si="52"/>
        <v>198</v>
      </c>
      <c r="O29" s="710">
        <f t="shared" si="53"/>
        <v>63</v>
      </c>
      <c r="P29" s="799">
        <f t="shared" si="19"/>
        <v>1.3958755082760386</v>
      </c>
      <c r="Q29" s="1007">
        <v>1.002403</v>
      </c>
      <c r="R29" s="802">
        <f t="shared" si="54"/>
        <v>10</v>
      </c>
      <c r="S29" s="97">
        <f t="shared" si="55"/>
        <v>361</v>
      </c>
      <c r="T29" s="765">
        <f t="shared" si="56"/>
        <v>4</v>
      </c>
      <c r="U29" s="467">
        <f t="shared" si="57"/>
        <v>0</v>
      </c>
      <c r="V29" s="31">
        <f aca="true" t="shared" si="72" ref="V29:V35">IF(B29="",0,IF(A29=A28,0,IF(A29="SLOW",P$3,P$4)))</f>
        <v>0</v>
      </c>
      <c r="W29" s="105">
        <f t="shared" si="58"/>
        <v>365</v>
      </c>
      <c r="X29" s="23">
        <f t="shared" si="59"/>
        <v>0.0042245465</v>
      </c>
      <c r="Y29" s="32">
        <f t="shared" si="60"/>
        <v>0.5571064071777778</v>
      </c>
      <c r="Z29" s="409">
        <f t="shared" si="61"/>
        <v>0.5549941339277777</v>
      </c>
      <c r="AA29" s="171">
        <f>B29</f>
        <v>8</v>
      </c>
      <c r="AB29" s="1717"/>
      <c r="AC29" s="1718"/>
      <c r="AD29" s="48">
        <f t="shared" si="62"/>
        <v>10</v>
      </c>
      <c r="AE29" s="29">
        <f t="shared" si="50"/>
        <v>360</v>
      </c>
      <c r="AF29" s="31">
        <f t="shared" si="63"/>
        <v>0</v>
      </c>
      <c r="AG29" s="1727"/>
      <c r="AH29" s="836"/>
      <c r="AI29" s="25">
        <f t="shared" si="64"/>
        <v>0</v>
      </c>
      <c r="AJ29" s="24">
        <f t="shared" si="9"/>
        <v>0</v>
      </c>
      <c r="AK29" s="379">
        <f t="shared" si="15"/>
        <v>0</v>
      </c>
      <c r="AL29" s="380">
        <f t="shared" si="65"/>
        <v>0</v>
      </c>
      <c r="AM29" s="134">
        <f t="shared" si="11"/>
        <v>0</v>
      </c>
      <c r="AN29" s="452"/>
      <c r="AO29" s="474">
        <f t="shared" si="66"/>
        <v>63</v>
      </c>
      <c r="AP29" s="473">
        <f t="shared" si="67"/>
        <v>4</v>
      </c>
      <c r="AQ29" s="473">
        <f t="shared" si="68"/>
        <v>4</v>
      </c>
      <c r="AR29" s="474">
        <f t="shared" si="69"/>
        <v>1.561783381828525</v>
      </c>
      <c r="AS29" s="474">
        <f t="shared" si="70"/>
        <v>1.3958755082760386</v>
      </c>
      <c r="AT29" s="473"/>
      <c r="AU29" s="431">
        <f t="shared" si="71"/>
        <v>198</v>
      </c>
      <c r="AV29" s="250"/>
      <c r="AW29" s="267"/>
      <c r="AX29" s="271"/>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8"/>
      <c r="BZ29" s="268"/>
      <c r="CA29" s="268"/>
      <c r="CB29" s="268"/>
      <c r="CC29" s="268"/>
      <c r="CD29" s="268"/>
      <c r="CE29" s="268"/>
      <c r="CF29" s="268"/>
      <c r="CG29" s="268"/>
      <c r="CH29" s="268"/>
      <c r="CI29" s="268"/>
      <c r="CJ29" s="268"/>
      <c r="CK29" s="268"/>
      <c r="CL29" s="268"/>
      <c r="CM29" s="268"/>
      <c r="CN29" s="268"/>
      <c r="CO29" s="268"/>
      <c r="CP29" s="268"/>
      <c r="CQ29" s="268"/>
      <c r="CR29" s="268"/>
      <c r="CS29" s="268"/>
      <c r="CT29" s="268"/>
      <c r="CU29" s="268"/>
      <c r="CV29" s="268"/>
      <c r="CW29" s="268"/>
      <c r="CX29" s="268"/>
      <c r="CY29" s="268"/>
      <c r="CZ29" s="268"/>
      <c r="DA29" s="268"/>
      <c r="DB29" s="268"/>
      <c r="DC29" s="268"/>
      <c r="DD29" s="268"/>
      <c r="DE29" s="268"/>
      <c r="DF29" s="268"/>
      <c r="DG29" s="268"/>
      <c r="DH29" s="268"/>
      <c r="DI29" s="268"/>
      <c r="DJ29" s="268"/>
      <c r="DK29" s="268"/>
      <c r="DL29" s="268"/>
      <c r="DM29" s="268"/>
      <c r="DN29" s="268"/>
      <c r="DO29" s="268"/>
      <c r="DP29" s="268"/>
      <c r="DQ29" s="268"/>
      <c r="DR29" s="268"/>
      <c r="DS29" s="268"/>
      <c r="DT29" s="268"/>
      <c r="DU29" s="268"/>
      <c r="DV29" s="268"/>
      <c r="DW29" s="268"/>
      <c r="DX29" s="268"/>
      <c r="DY29" s="268"/>
      <c r="DZ29" s="268"/>
      <c r="EA29" s="268"/>
      <c r="EB29" s="268"/>
      <c r="EC29" s="268"/>
      <c r="ED29" s="268"/>
      <c r="EE29" s="268"/>
      <c r="EF29" s="268"/>
      <c r="EG29" s="268"/>
      <c r="EH29" s="268"/>
      <c r="EI29" s="268"/>
    </row>
    <row r="30" spans="1:139" s="249" customFormat="1" ht="12.75">
      <c r="A30" s="1013" t="s">
        <v>78</v>
      </c>
      <c r="B30" s="1660">
        <v>9</v>
      </c>
      <c r="C30" s="1660"/>
      <c r="D30" s="1665" t="s">
        <v>426</v>
      </c>
      <c r="E30" s="961">
        <f t="shared" si="51"/>
      </c>
      <c r="F30" s="1682"/>
      <c r="G30" s="1683"/>
      <c r="H30" s="1688"/>
      <c r="I30" s="1679"/>
      <c r="J30" s="1685"/>
      <c r="K30" s="1681">
        <v>196.648578</v>
      </c>
      <c r="L30" s="800">
        <f t="shared" si="13"/>
        <v>196.648578</v>
      </c>
      <c r="M30" s="1010"/>
      <c r="N30" s="707">
        <f t="shared" si="52"/>
        <v>197</v>
      </c>
      <c r="O30" s="710">
        <f t="shared" si="53"/>
        <v>1</v>
      </c>
      <c r="P30" s="799">
        <f t="shared" si="19"/>
        <v>-0.02118663386570275</v>
      </c>
      <c r="Q30" s="1007">
        <v>0.538002</v>
      </c>
      <c r="R30" s="802">
        <f t="shared" si="54"/>
        <v>10</v>
      </c>
      <c r="S30" s="97">
        <f t="shared" si="55"/>
        <v>194</v>
      </c>
      <c r="T30" s="765">
        <f t="shared" si="56"/>
        <v>0</v>
      </c>
      <c r="U30" s="467">
        <f t="shared" si="57"/>
        <v>0</v>
      </c>
      <c r="V30" s="31">
        <f t="shared" si="72"/>
        <v>0</v>
      </c>
      <c r="W30" s="105">
        <f t="shared" si="58"/>
        <v>194</v>
      </c>
      <c r="X30" s="23">
        <f t="shared" si="59"/>
        <v>0.0022453754</v>
      </c>
      <c r="Y30" s="32">
        <f t="shared" si="60"/>
        <v>0.5593517825777778</v>
      </c>
      <c r="Z30" s="409">
        <f t="shared" si="61"/>
        <v>0.5582290948777778</v>
      </c>
      <c r="AA30" s="171">
        <f aca="true" t="shared" si="73" ref="AA30:AA35">B30</f>
        <v>9</v>
      </c>
      <c r="AB30" s="1717"/>
      <c r="AC30" s="1718"/>
      <c r="AD30" s="48">
        <f t="shared" si="62"/>
        <v>10</v>
      </c>
      <c r="AE30" s="29">
        <f t="shared" si="50"/>
        <v>360</v>
      </c>
      <c r="AF30" s="31">
        <f t="shared" si="63"/>
        <v>0</v>
      </c>
      <c r="AG30" s="1728"/>
      <c r="AH30" s="836"/>
      <c r="AI30" s="25">
        <f t="shared" si="64"/>
        <v>0</v>
      </c>
      <c r="AJ30" s="24">
        <f t="shared" si="9"/>
        <v>0</v>
      </c>
      <c r="AK30" s="379">
        <f t="shared" si="15"/>
        <v>0</v>
      </c>
      <c r="AL30" s="380">
        <f t="shared" si="65"/>
        <v>0</v>
      </c>
      <c r="AM30" s="134">
        <f t="shared" si="11"/>
        <v>0</v>
      </c>
      <c r="AN30" s="452"/>
      <c r="AO30" s="474">
        <f t="shared" si="66"/>
        <v>-1</v>
      </c>
      <c r="AP30" s="473">
        <f t="shared" si="67"/>
        <v>0</v>
      </c>
      <c r="AQ30" s="473">
        <f t="shared" si="68"/>
        <v>0</v>
      </c>
      <c r="AR30" s="474">
        <f t="shared" si="69"/>
        <v>0.02118663386570275</v>
      </c>
      <c r="AS30" s="474">
        <f t="shared" si="70"/>
        <v>0.021100402761555375</v>
      </c>
      <c r="AT30" s="473"/>
      <c r="AU30" s="431">
        <f>ROUND(K30-57.29*ASIN(AC30/R30*SIN((AB30-K30)/57.29))+$R$3+M30,0)</f>
        <v>197</v>
      </c>
      <c r="AV30" s="250"/>
      <c r="AW30" s="267"/>
      <c r="AX30" s="271"/>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8"/>
      <c r="CB30" s="268"/>
      <c r="CC30" s="268"/>
      <c r="CD30" s="268"/>
      <c r="CE30" s="268"/>
      <c r="CF30" s="268"/>
      <c r="CG30" s="268"/>
      <c r="CH30" s="268"/>
      <c r="CI30" s="268"/>
      <c r="CJ30" s="268"/>
      <c r="CK30" s="268"/>
      <c r="CL30" s="268"/>
      <c r="CM30" s="268"/>
      <c r="CN30" s="268"/>
      <c r="CO30" s="268"/>
      <c r="CP30" s="268"/>
      <c r="CQ30" s="268"/>
      <c r="CR30" s="268"/>
      <c r="CS30" s="268"/>
      <c r="CT30" s="268"/>
      <c r="CU30" s="268"/>
      <c r="CV30" s="268"/>
      <c r="CW30" s="268"/>
      <c r="CX30" s="268"/>
      <c r="CY30" s="268"/>
      <c r="CZ30" s="268"/>
      <c r="DA30" s="268"/>
      <c r="DB30" s="268"/>
      <c r="DC30" s="268"/>
      <c r="DD30" s="268"/>
      <c r="DE30" s="268"/>
      <c r="DF30" s="268"/>
      <c r="DG30" s="268"/>
      <c r="DH30" s="268"/>
      <c r="DI30" s="268"/>
      <c r="DJ30" s="268"/>
      <c r="DK30" s="268"/>
      <c r="DL30" s="268"/>
      <c r="DM30" s="268"/>
      <c r="DN30" s="268"/>
      <c r="DO30" s="268"/>
      <c r="DP30" s="268"/>
      <c r="DQ30" s="268"/>
      <c r="DR30" s="268"/>
      <c r="DS30" s="268"/>
      <c r="DT30" s="268"/>
      <c r="DU30" s="268"/>
      <c r="DV30" s="268"/>
      <c r="DW30" s="268"/>
      <c r="DX30" s="268"/>
      <c r="DY30" s="268"/>
      <c r="DZ30" s="268"/>
      <c r="EA30" s="268"/>
      <c r="EB30" s="268"/>
      <c r="EC30" s="268"/>
      <c r="ED30" s="268"/>
      <c r="EE30" s="268"/>
      <c r="EF30" s="268"/>
      <c r="EG30" s="268"/>
      <c r="EH30" s="268"/>
      <c r="EI30" s="268"/>
    </row>
    <row r="31" spans="1:139" s="249" customFormat="1" ht="12.75">
      <c r="A31" s="1018" t="s">
        <v>78</v>
      </c>
      <c r="B31" s="1655"/>
      <c r="C31" s="1656"/>
      <c r="D31" s="1664"/>
      <c r="E31" s="805">
        <f t="shared" si="51"/>
      </c>
      <c r="F31" s="1676"/>
      <c r="G31" s="1683"/>
      <c r="H31" s="1684"/>
      <c r="I31" s="1679"/>
      <c r="J31" s="1688"/>
      <c r="K31" s="1667"/>
      <c r="L31" s="800">
        <f t="shared" si="13"/>
      </c>
      <c r="M31" s="1010"/>
      <c r="N31" s="707">
        <f t="shared" si="52"/>
        <v>0</v>
      </c>
      <c r="O31" s="710">
        <f t="shared" si="53"/>
        <v>0</v>
      </c>
      <c r="P31" s="799">
        <f t="shared" si="19"/>
        <v>0</v>
      </c>
      <c r="Q31" s="1008"/>
      <c r="R31" s="802">
        <f t="shared" si="54"/>
        <v>10</v>
      </c>
      <c r="S31" s="97">
        <f t="shared" si="55"/>
        <v>0</v>
      </c>
      <c r="T31" s="765">
        <f t="shared" si="56"/>
        <v>0</v>
      </c>
      <c r="U31" s="470">
        <f t="shared" si="57"/>
        <v>0</v>
      </c>
      <c r="V31" s="31">
        <f t="shared" si="72"/>
        <v>0</v>
      </c>
      <c r="W31" s="105">
        <f t="shared" si="58"/>
        <v>0</v>
      </c>
      <c r="X31" s="23">
        <f t="shared" si="59"/>
        <v>0</v>
      </c>
      <c r="Y31" s="32">
        <f t="shared" si="60"/>
        <v>0</v>
      </c>
      <c r="Z31" s="409">
        <f t="shared" si="61"/>
        <v>0</v>
      </c>
      <c r="AA31" s="171">
        <f t="shared" si="73"/>
        <v>0</v>
      </c>
      <c r="AB31" s="1717"/>
      <c r="AC31" s="1718"/>
      <c r="AD31" s="48">
        <f t="shared" si="62"/>
        <v>10</v>
      </c>
      <c r="AE31" s="29">
        <f>3600/AD31</f>
        <v>360</v>
      </c>
      <c r="AF31" s="31">
        <f t="shared" si="63"/>
        <v>0</v>
      </c>
      <c r="AG31" s="1727"/>
      <c r="AH31" s="836"/>
      <c r="AI31" s="25">
        <f t="shared" si="64"/>
        <v>0</v>
      </c>
      <c r="AJ31" s="24">
        <f t="shared" si="9"/>
        <v>0</v>
      </c>
      <c r="AK31" s="379">
        <f t="shared" si="15"/>
        <v>0</v>
      </c>
      <c r="AL31" s="380">
        <f t="shared" si="65"/>
        <v>0</v>
      </c>
      <c r="AM31" s="134" t="e">
        <f t="shared" si="11"/>
        <v>#DIV/0!</v>
      </c>
      <c r="AN31" s="452"/>
      <c r="AO31" s="474">
        <f t="shared" si="66"/>
        <v>0</v>
      </c>
      <c r="AP31" s="473">
        <f t="shared" si="67"/>
        <v>0</v>
      </c>
      <c r="AQ31" s="473">
        <f t="shared" si="68"/>
        <v>0</v>
      </c>
      <c r="AR31" s="474">
        <f t="shared" si="69"/>
        <v>0</v>
      </c>
      <c r="AS31" s="474">
        <f t="shared" si="70"/>
        <v>0</v>
      </c>
      <c r="AT31" s="473"/>
      <c r="AU31" s="431">
        <f t="shared" si="71"/>
        <v>0</v>
      </c>
      <c r="AV31" s="250"/>
      <c r="AW31" s="251"/>
      <c r="AX31" s="271"/>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c r="CL31" s="268"/>
      <c r="CM31" s="268"/>
      <c r="CN31" s="268"/>
      <c r="CO31" s="268"/>
      <c r="CP31" s="268"/>
      <c r="CQ31" s="268"/>
      <c r="CR31" s="268"/>
      <c r="CS31" s="268"/>
      <c r="CT31" s="268"/>
      <c r="CU31" s="268"/>
      <c r="CV31" s="268"/>
      <c r="CW31" s="268"/>
      <c r="CX31" s="268"/>
      <c r="CY31" s="268"/>
      <c r="CZ31" s="268"/>
      <c r="DA31" s="268"/>
      <c r="DB31" s="268"/>
      <c r="DC31" s="268"/>
      <c r="DD31" s="268"/>
      <c r="DE31" s="268"/>
      <c r="DF31" s="268"/>
      <c r="DG31" s="268"/>
      <c r="DH31" s="268"/>
      <c r="DI31" s="268"/>
      <c r="DJ31" s="268"/>
      <c r="DK31" s="268"/>
      <c r="DL31" s="268"/>
      <c r="DM31" s="268"/>
      <c r="DN31" s="268"/>
      <c r="DO31" s="268"/>
      <c r="DP31" s="268"/>
      <c r="DQ31" s="268"/>
      <c r="DR31" s="268"/>
      <c r="DS31" s="268"/>
      <c r="DT31" s="268"/>
      <c r="DU31" s="268"/>
      <c r="DV31" s="268"/>
      <c r="DW31" s="268"/>
      <c r="DX31" s="268"/>
      <c r="DY31" s="268"/>
      <c r="DZ31" s="268"/>
      <c r="EA31" s="268"/>
      <c r="EB31" s="268"/>
      <c r="EC31" s="268"/>
      <c r="ED31" s="268"/>
      <c r="EE31" s="268"/>
      <c r="EF31" s="268"/>
      <c r="EG31" s="268"/>
      <c r="EH31" s="268"/>
      <c r="EI31" s="268"/>
    </row>
    <row r="32" spans="1:139" s="249" customFormat="1" ht="12.75">
      <c r="A32" s="1018" t="s">
        <v>78</v>
      </c>
      <c r="B32" s="1655"/>
      <c r="C32" s="1657"/>
      <c r="D32" s="1654"/>
      <c r="E32" s="805">
        <f t="shared" si="51"/>
      </c>
      <c r="F32" s="1682"/>
      <c r="G32" s="1698"/>
      <c r="H32" s="1684"/>
      <c r="I32" s="1679"/>
      <c r="J32" s="1688"/>
      <c r="K32" s="1667"/>
      <c r="L32" s="800">
        <f t="shared" si="13"/>
      </c>
      <c r="M32" s="1010"/>
      <c r="N32" s="707">
        <f t="shared" si="52"/>
        <v>0</v>
      </c>
      <c r="O32" s="710">
        <f t="shared" si="53"/>
        <v>0</v>
      </c>
      <c r="P32" s="799">
        <f t="shared" si="19"/>
        <v>0</v>
      </c>
      <c r="Q32" s="1008"/>
      <c r="R32" s="802">
        <f t="shared" si="54"/>
        <v>10</v>
      </c>
      <c r="S32" s="97">
        <f t="shared" si="55"/>
        <v>0</v>
      </c>
      <c r="T32" s="765">
        <f t="shared" si="56"/>
        <v>0</v>
      </c>
      <c r="U32" s="467">
        <f t="shared" si="57"/>
        <v>0</v>
      </c>
      <c r="V32" s="31">
        <f t="shared" si="72"/>
        <v>0</v>
      </c>
      <c r="W32" s="105">
        <f t="shared" si="58"/>
        <v>0</v>
      </c>
      <c r="X32" s="23">
        <f t="shared" si="59"/>
        <v>0</v>
      </c>
      <c r="Y32" s="32">
        <f t="shared" si="60"/>
        <v>0</v>
      </c>
      <c r="Z32" s="409">
        <f t="shared" si="61"/>
        <v>0</v>
      </c>
      <c r="AA32" s="171">
        <f t="shared" si="73"/>
        <v>0</v>
      </c>
      <c r="AB32" s="1717"/>
      <c r="AC32" s="1718"/>
      <c r="AD32" s="48">
        <f t="shared" si="62"/>
        <v>10</v>
      </c>
      <c r="AE32" s="29">
        <f>3600/AD32</f>
        <v>360</v>
      </c>
      <c r="AF32" s="31">
        <f t="shared" si="63"/>
        <v>0</v>
      </c>
      <c r="AG32" s="1727"/>
      <c r="AH32" s="836"/>
      <c r="AI32" s="25">
        <f t="shared" si="64"/>
        <v>0</v>
      </c>
      <c r="AJ32" s="24">
        <f t="shared" si="9"/>
        <v>0</v>
      </c>
      <c r="AK32" s="379">
        <f t="shared" si="15"/>
        <v>0</v>
      </c>
      <c r="AL32" s="380">
        <f t="shared" si="65"/>
        <v>0</v>
      </c>
      <c r="AM32" s="134" t="e">
        <f t="shared" si="11"/>
        <v>#DIV/0!</v>
      </c>
      <c r="AN32" s="452"/>
      <c r="AO32" s="474">
        <f t="shared" si="66"/>
        <v>0</v>
      </c>
      <c r="AP32" s="473">
        <f t="shared" si="67"/>
        <v>0</v>
      </c>
      <c r="AQ32" s="473">
        <f t="shared" si="68"/>
        <v>0</v>
      </c>
      <c r="AR32" s="474">
        <f t="shared" si="69"/>
        <v>0</v>
      </c>
      <c r="AS32" s="474">
        <f t="shared" si="70"/>
        <v>0</v>
      </c>
      <c r="AT32" s="475"/>
      <c r="AU32" s="431">
        <f t="shared" si="71"/>
        <v>0</v>
      </c>
      <c r="AV32" s="250"/>
      <c r="AW32" s="251"/>
      <c r="AX32" s="271"/>
      <c r="AY32" s="268"/>
      <c r="AZ32" s="268"/>
      <c r="BA32" s="268"/>
      <c r="BB32" s="268"/>
      <c r="BC32" s="268"/>
      <c r="BD32" s="268"/>
      <c r="BE32" s="268"/>
      <c r="BF32" s="268"/>
      <c r="BG32" s="268"/>
      <c r="BH32" s="268"/>
      <c r="BI32" s="268"/>
      <c r="BJ32" s="268"/>
      <c r="BK32" s="268"/>
      <c r="BL32" s="268"/>
      <c r="BM32" s="268"/>
      <c r="BN32" s="268"/>
      <c r="BO32" s="268"/>
      <c r="BP32" s="268"/>
      <c r="BQ32" s="268"/>
      <c r="BR32" s="268"/>
      <c r="BS32" s="268"/>
      <c r="BT32" s="268"/>
      <c r="BU32" s="268"/>
      <c r="BV32" s="268"/>
      <c r="BW32" s="268"/>
      <c r="BX32" s="268"/>
      <c r="BY32" s="268"/>
      <c r="BZ32" s="268"/>
      <c r="CA32" s="268"/>
      <c r="CB32" s="268"/>
      <c r="CC32" s="268"/>
      <c r="CD32" s="268"/>
      <c r="CE32" s="268"/>
      <c r="CF32" s="268"/>
      <c r="CG32" s="268"/>
      <c r="CH32" s="268"/>
      <c r="CI32" s="268"/>
      <c r="CJ32" s="268"/>
      <c r="CK32" s="268"/>
      <c r="CL32" s="268"/>
      <c r="CM32" s="268"/>
      <c r="CN32" s="268"/>
      <c r="CO32" s="268"/>
      <c r="CP32" s="268"/>
      <c r="CQ32" s="268"/>
      <c r="CR32" s="268"/>
      <c r="CS32" s="268"/>
      <c r="CT32" s="268"/>
      <c r="CU32" s="268"/>
      <c r="CV32" s="268"/>
      <c r="CW32" s="268"/>
      <c r="CX32" s="268"/>
      <c r="CY32" s="268"/>
      <c r="CZ32" s="268"/>
      <c r="DA32" s="268"/>
      <c r="DB32" s="268"/>
      <c r="DC32" s="268"/>
      <c r="DD32" s="268"/>
      <c r="DE32" s="268"/>
      <c r="DF32" s="268"/>
      <c r="DG32" s="268"/>
      <c r="DH32" s="268"/>
      <c r="DI32" s="268"/>
      <c r="DJ32" s="268"/>
      <c r="DK32" s="268"/>
      <c r="DL32" s="268"/>
      <c r="DM32" s="268"/>
      <c r="DN32" s="268"/>
      <c r="DO32" s="268"/>
      <c r="DP32" s="268"/>
      <c r="DQ32" s="268"/>
      <c r="DR32" s="268"/>
      <c r="DS32" s="268"/>
      <c r="DT32" s="268"/>
      <c r="DU32" s="268"/>
      <c r="DV32" s="268"/>
      <c r="DW32" s="268"/>
      <c r="DX32" s="268"/>
      <c r="DY32" s="268"/>
      <c r="DZ32" s="268"/>
      <c r="EA32" s="268"/>
      <c r="EB32" s="268"/>
      <c r="EC32" s="268"/>
      <c r="ED32" s="268"/>
      <c r="EE32" s="268"/>
      <c r="EF32" s="268"/>
      <c r="EG32" s="268"/>
      <c r="EH32" s="268"/>
      <c r="EI32" s="268"/>
    </row>
    <row r="33" spans="1:139" s="249" customFormat="1" ht="13.5" customHeight="1">
      <c r="A33" s="1018" t="s">
        <v>78</v>
      </c>
      <c r="B33" s="1655"/>
      <c r="C33" s="1657"/>
      <c r="D33" s="1654"/>
      <c r="E33" s="805">
        <f t="shared" si="51"/>
      </c>
      <c r="F33" s="1682"/>
      <c r="G33" s="1683"/>
      <c r="H33" s="1684"/>
      <c r="I33" s="1679"/>
      <c r="J33" s="1684"/>
      <c r="K33" s="1667"/>
      <c r="L33" s="800">
        <f t="shared" si="13"/>
      </c>
      <c r="M33" s="1010"/>
      <c r="N33" s="707">
        <f t="shared" si="52"/>
        <v>0</v>
      </c>
      <c r="O33" s="710">
        <f t="shared" si="53"/>
        <v>0</v>
      </c>
      <c r="P33" s="799">
        <f t="shared" si="19"/>
        <v>0</v>
      </c>
      <c r="Q33" s="1008"/>
      <c r="R33" s="802">
        <f t="shared" si="54"/>
        <v>10</v>
      </c>
      <c r="S33" s="97">
        <f t="shared" si="55"/>
        <v>0</v>
      </c>
      <c r="T33" s="765">
        <f t="shared" si="56"/>
        <v>0</v>
      </c>
      <c r="U33" s="467">
        <f t="shared" si="57"/>
        <v>0</v>
      </c>
      <c r="V33" s="31">
        <f t="shared" si="72"/>
        <v>0</v>
      </c>
      <c r="W33" s="105">
        <f t="shared" si="58"/>
        <v>0</v>
      </c>
      <c r="X33" s="54">
        <f t="shared" si="59"/>
        <v>0</v>
      </c>
      <c r="Y33" s="32">
        <f t="shared" si="60"/>
        <v>0</v>
      </c>
      <c r="Z33" s="409">
        <f t="shared" si="61"/>
        <v>0</v>
      </c>
      <c r="AA33" s="171">
        <f t="shared" si="73"/>
        <v>0</v>
      </c>
      <c r="AB33" s="1717"/>
      <c r="AC33" s="1718"/>
      <c r="AD33" s="48">
        <f t="shared" si="62"/>
        <v>10</v>
      </c>
      <c r="AE33" s="29">
        <f>3600/AD33</f>
        <v>360</v>
      </c>
      <c r="AF33" s="31">
        <f t="shared" si="63"/>
        <v>0</v>
      </c>
      <c r="AG33" s="1728"/>
      <c r="AH33" s="836"/>
      <c r="AI33" s="25">
        <f t="shared" si="64"/>
        <v>0</v>
      </c>
      <c r="AJ33" s="24">
        <f t="shared" si="9"/>
        <v>0</v>
      </c>
      <c r="AK33" s="379">
        <f t="shared" si="15"/>
        <v>0</v>
      </c>
      <c r="AL33" s="380">
        <f t="shared" si="65"/>
        <v>0</v>
      </c>
      <c r="AM33" s="381" t="e">
        <f t="shared" si="11"/>
        <v>#DIV/0!</v>
      </c>
      <c r="AN33" s="452"/>
      <c r="AO33" s="474">
        <f t="shared" si="66"/>
        <v>0</v>
      </c>
      <c r="AP33" s="473">
        <f t="shared" si="67"/>
        <v>0</v>
      </c>
      <c r="AQ33" s="473">
        <f t="shared" si="68"/>
        <v>0</v>
      </c>
      <c r="AR33" s="474">
        <f t="shared" si="69"/>
        <v>0</v>
      </c>
      <c r="AS33" s="474">
        <f t="shared" si="70"/>
        <v>0</v>
      </c>
      <c r="AT33" s="473"/>
      <c r="AU33" s="431">
        <f t="shared" si="71"/>
        <v>0</v>
      </c>
      <c r="AV33" s="250"/>
      <c r="AW33" s="251"/>
      <c r="AX33" s="271"/>
      <c r="AY33" s="268"/>
      <c r="AZ33" s="268"/>
      <c r="BA33" s="268"/>
      <c r="BB33" s="268"/>
      <c r="BC33" s="268"/>
      <c r="BD33" s="268"/>
      <c r="BE33" s="268"/>
      <c r="BF33" s="268"/>
      <c r="BG33" s="268"/>
      <c r="BH33" s="268"/>
      <c r="BI33" s="268"/>
      <c r="BJ33" s="268"/>
      <c r="BK33" s="268"/>
      <c r="BL33" s="268"/>
      <c r="BM33" s="268"/>
      <c r="BN33" s="268"/>
      <c r="BO33" s="268"/>
      <c r="BP33" s="268"/>
      <c r="BQ33" s="268"/>
      <c r="BR33" s="268"/>
      <c r="BS33" s="268"/>
      <c r="BT33" s="268"/>
      <c r="BU33" s="268"/>
      <c r="BV33" s="268"/>
      <c r="BW33" s="268"/>
      <c r="BX33" s="268"/>
      <c r="BY33" s="268"/>
      <c r="BZ33" s="268"/>
      <c r="CA33" s="268"/>
      <c r="CB33" s="268"/>
      <c r="CC33" s="268"/>
      <c r="CD33" s="268"/>
      <c r="CE33" s="268"/>
      <c r="CF33" s="268"/>
      <c r="CG33" s="268"/>
      <c r="CH33" s="268"/>
      <c r="CI33" s="268"/>
      <c r="CJ33" s="268"/>
      <c r="CK33" s="268"/>
      <c r="CL33" s="268"/>
      <c r="CM33" s="268"/>
      <c r="CN33" s="268"/>
      <c r="CO33" s="268"/>
      <c r="CP33" s="268"/>
      <c r="CQ33" s="268"/>
      <c r="CR33" s="268"/>
      <c r="CS33" s="268"/>
      <c r="CT33" s="268"/>
      <c r="CU33" s="268"/>
      <c r="CV33" s="268"/>
      <c r="CW33" s="268"/>
      <c r="CX33" s="268"/>
      <c r="CY33" s="268"/>
      <c r="CZ33" s="268"/>
      <c r="DA33" s="268"/>
      <c r="DB33" s="268"/>
      <c r="DC33" s="268"/>
      <c r="DD33" s="268"/>
      <c r="DE33" s="268"/>
      <c r="DF33" s="268"/>
      <c r="DG33" s="268"/>
      <c r="DH33" s="268"/>
      <c r="DI33" s="268"/>
      <c r="DJ33" s="268"/>
      <c r="DK33" s="268"/>
      <c r="DL33" s="268"/>
      <c r="DM33" s="268"/>
      <c r="DN33" s="268"/>
      <c r="DO33" s="268"/>
      <c r="DP33" s="268"/>
      <c r="DQ33" s="268"/>
      <c r="DR33" s="268"/>
      <c r="DS33" s="268"/>
      <c r="DT33" s="268"/>
      <c r="DU33" s="268"/>
      <c r="DV33" s="268"/>
      <c r="DW33" s="268"/>
      <c r="DX33" s="268"/>
      <c r="DY33" s="268"/>
      <c r="DZ33" s="268"/>
      <c r="EA33" s="268"/>
      <c r="EB33" s="268"/>
      <c r="EC33" s="268"/>
      <c r="ED33" s="268"/>
      <c r="EE33" s="268"/>
      <c r="EF33" s="268"/>
      <c r="EG33" s="268"/>
      <c r="EH33" s="268"/>
      <c r="EI33" s="268"/>
    </row>
    <row r="34" spans="1:139" s="432" customFormat="1" ht="12.75">
      <c r="A34" s="1018" t="s">
        <v>78</v>
      </c>
      <c r="B34" s="1655"/>
      <c r="C34" s="1657"/>
      <c r="D34" s="1654"/>
      <c r="E34" s="805">
        <f t="shared" si="51"/>
      </c>
      <c r="F34" s="1682"/>
      <c r="G34" s="1683"/>
      <c r="H34" s="1684"/>
      <c r="I34" s="1679"/>
      <c r="J34" s="1684"/>
      <c r="K34" s="1667"/>
      <c r="L34" s="800">
        <f t="shared" si="13"/>
      </c>
      <c r="M34" s="1010"/>
      <c r="N34" s="707">
        <f t="shared" si="52"/>
        <v>0</v>
      </c>
      <c r="O34" s="710">
        <f t="shared" si="53"/>
        <v>0</v>
      </c>
      <c r="P34" s="799">
        <f t="shared" si="19"/>
        <v>0</v>
      </c>
      <c r="Q34" s="1008"/>
      <c r="R34" s="802">
        <f t="shared" si="54"/>
        <v>10</v>
      </c>
      <c r="S34" s="97">
        <f t="shared" si="55"/>
        <v>0</v>
      </c>
      <c r="T34" s="765">
        <f t="shared" si="56"/>
        <v>0</v>
      </c>
      <c r="U34" s="467">
        <f t="shared" si="57"/>
        <v>0</v>
      </c>
      <c r="V34" s="31">
        <f t="shared" si="72"/>
        <v>0</v>
      </c>
      <c r="W34" s="105">
        <f t="shared" si="58"/>
        <v>0</v>
      </c>
      <c r="X34" s="23">
        <f t="shared" si="59"/>
        <v>0</v>
      </c>
      <c r="Y34" s="32">
        <f t="shared" si="60"/>
        <v>0</v>
      </c>
      <c r="Z34" s="409">
        <f t="shared" si="61"/>
        <v>0</v>
      </c>
      <c r="AA34" s="171">
        <f t="shared" si="73"/>
        <v>0</v>
      </c>
      <c r="AB34" s="1717"/>
      <c r="AC34" s="1718"/>
      <c r="AD34" s="48">
        <f t="shared" si="62"/>
        <v>10</v>
      </c>
      <c r="AE34" s="29">
        <f>3600/AD34</f>
        <v>360</v>
      </c>
      <c r="AF34" s="31">
        <f t="shared" si="63"/>
        <v>0</v>
      </c>
      <c r="AG34" s="1728"/>
      <c r="AH34" s="836"/>
      <c r="AI34" s="25">
        <f t="shared" si="64"/>
        <v>0</v>
      </c>
      <c r="AJ34" s="24">
        <f t="shared" si="9"/>
        <v>0</v>
      </c>
      <c r="AK34" s="379">
        <f t="shared" si="15"/>
        <v>0</v>
      </c>
      <c r="AL34" s="380">
        <f t="shared" si="65"/>
        <v>0</v>
      </c>
      <c r="AM34" s="381" t="e">
        <f t="shared" si="11"/>
        <v>#DIV/0!</v>
      </c>
      <c r="AN34" s="452"/>
      <c r="AO34" s="474">
        <f t="shared" si="66"/>
        <v>0</v>
      </c>
      <c r="AP34" s="473">
        <f t="shared" si="67"/>
        <v>0</v>
      </c>
      <c r="AQ34" s="473">
        <f t="shared" si="68"/>
        <v>0</v>
      </c>
      <c r="AR34" s="474">
        <f t="shared" si="69"/>
        <v>0</v>
      </c>
      <c r="AS34" s="474">
        <f t="shared" si="70"/>
        <v>0</v>
      </c>
      <c r="AT34" s="473"/>
      <c r="AU34" s="431">
        <f t="shared" si="71"/>
        <v>0</v>
      </c>
      <c r="AV34" s="250"/>
      <c r="AW34" s="251"/>
      <c r="AX34" s="271"/>
      <c r="AY34" s="268"/>
      <c r="AZ34" s="268"/>
      <c r="BA34" s="268"/>
      <c r="BB34" s="268"/>
      <c r="BC34" s="268"/>
      <c r="BD34" s="268"/>
      <c r="BE34" s="268"/>
      <c r="BF34" s="268"/>
      <c r="BG34" s="268"/>
      <c r="BH34" s="268"/>
      <c r="BI34" s="268"/>
      <c r="BJ34" s="268"/>
      <c r="BK34" s="268"/>
      <c r="BL34" s="268"/>
      <c r="BM34" s="268"/>
      <c r="BN34" s="268"/>
      <c r="BO34" s="268"/>
      <c r="BP34" s="268"/>
      <c r="BQ34" s="268"/>
      <c r="BR34" s="268"/>
      <c r="BS34" s="268"/>
      <c r="BT34" s="268"/>
      <c r="BU34" s="268"/>
      <c r="BV34" s="268"/>
      <c r="BW34" s="268"/>
      <c r="BX34" s="268"/>
      <c r="BY34" s="268"/>
      <c r="BZ34" s="268"/>
      <c r="CA34" s="268"/>
      <c r="CB34" s="268"/>
      <c r="CC34" s="268"/>
      <c r="CD34" s="268"/>
      <c r="CE34" s="268"/>
      <c r="CF34" s="268"/>
      <c r="CG34" s="268"/>
      <c r="CH34" s="268"/>
      <c r="CI34" s="268"/>
      <c r="CJ34" s="268"/>
      <c r="CK34" s="268"/>
      <c r="CL34" s="268"/>
      <c r="CM34" s="268"/>
      <c r="CN34" s="268"/>
      <c r="CO34" s="268"/>
      <c r="CP34" s="268"/>
      <c r="CQ34" s="268"/>
      <c r="CR34" s="268"/>
      <c r="CS34" s="268"/>
      <c r="CT34" s="268"/>
      <c r="CU34" s="268"/>
      <c r="CV34" s="268"/>
      <c r="CW34" s="268"/>
      <c r="CX34" s="268"/>
      <c r="CY34" s="268"/>
      <c r="CZ34" s="268"/>
      <c r="DA34" s="268"/>
      <c r="DB34" s="268"/>
      <c r="DC34" s="268"/>
      <c r="DD34" s="268"/>
      <c r="DE34" s="268"/>
      <c r="DF34" s="268"/>
      <c r="DG34" s="268"/>
      <c r="DH34" s="268"/>
      <c r="DI34" s="268"/>
      <c r="DJ34" s="268"/>
      <c r="DK34" s="268"/>
      <c r="DL34" s="268"/>
      <c r="DM34" s="268"/>
      <c r="DN34" s="268"/>
      <c r="DO34" s="268"/>
      <c r="DP34" s="268"/>
      <c r="DQ34" s="268"/>
      <c r="DR34" s="268"/>
      <c r="DS34" s="268"/>
      <c r="DT34" s="268"/>
      <c r="DU34" s="268"/>
      <c r="DV34" s="268"/>
      <c r="DW34" s="268"/>
      <c r="DX34" s="268"/>
      <c r="DY34" s="268"/>
      <c r="DZ34" s="268"/>
      <c r="EA34" s="268"/>
      <c r="EB34" s="268"/>
      <c r="EC34" s="268"/>
      <c r="ED34" s="268"/>
      <c r="EE34" s="268"/>
      <c r="EF34" s="268"/>
      <c r="EG34" s="268"/>
      <c r="EH34" s="268"/>
      <c r="EI34" s="268"/>
    </row>
    <row r="35" spans="1:51" s="268" customFormat="1" ht="12" customHeight="1">
      <c r="A35" s="1020" t="s">
        <v>78</v>
      </c>
      <c r="B35" s="1655"/>
      <c r="C35" s="1657"/>
      <c r="D35" s="1654"/>
      <c r="E35" s="805">
        <f t="shared" si="51"/>
      </c>
      <c r="F35" s="1682"/>
      <c r="G35" s="1683"/>
      <c r="H35" s="1684"/>
      <c r="I35" s="1679"/>
      <c r="J35" s="1684"/>
      <c r="K35" s="1667"/>
      <c r="L35" s="800">
        <f t="shared" si="13"/>
      </c>
      <c r="M35" s="1010"/>
      <c r="N35" s="707">
        <f t="shared" si="52"/>
        <v>0</v>
      </c>
      <c r="O35" s="710">
        <f t="shared" si="53"/>
        <v>0</v>
      </c>
      <c r="P35" s="799">
        <f t="shared" si="19"/>
        <v>0</v>
      </c>
      <c r="Q35" s="1008"/>
      <c r="R35" s="802">
        <f t="shared" si="54"/>
        <v>10</v>
      </c>
      <c r="S35" s="97">
        <f t="shared" si="55"/>
        <v>0</v>
      </c>
      <c r="T35" s="765">
        <f t="shared" si="56"/>
        <v>0</v>
      </c>
      <c r="U35" s="467">
        <f t="shared" si="57"/>
        <v>0</v>
      </c>
      <c r="V35" s="31">
        <f t="shared" si="72"/>
        <v>0</v>
      </c>
      <c r="W35" s="105">
        <f t="shared" si="58"/>
        <v>0</v>
      </c>
      <c r="X35" s="23">
        <f t="shared" si="59"/>
        <v>0</v>
      </c>
      <c r="Y35" s="32">
        <f t="shared" si="60"/>
        <v>0</v>
      </c>
      <c r="Z35" s="409">
        <f t="shared" si="61"/>
        <v>0</v>
      </c>
      <c r="AA35" s="171">
        <f t="shared" si="73"/>
        <v>0</v>
      </c>
      <c r="AB35" s="1719"/>
      <c r="AC35" s="1720"/>
      <c r="AD35" s="48">
        <f t="shared" si="62"/>
        <v>10</v>
      </c>
      <c r="AE35" s="29">
        <f>3600/AD35</f>
        <v>360</v>
      </c>
      <c r="AF35" s="31">
        <f t="shared" si="63"/>
        <v>0</v>
      </c>
      <c r="AG35" s="1728"/>
      <c r="AH35" s="836"/>
      <c r="AI35" s="25">
        <f t="shared" si="64"/>
        <v>0</v>
      </c>
      <c r="AJ35" s="24">
        <f t="shared" si="9"/>
        <v>0</v>
      </c>
      <c r="AK35" s="379">
        <f t="shared" si="15"/>
        <v>0</v>
      </c>
      <c r="AL35" s="380">
        <f t="shared" si="65"/>
        <v>0</v>
      </c>
      <c r="AM35" s="381" t="e">
        <f t="shared" si="11"/>
        <v>#DIV/0!</v>
      </c>
      <c r="AN35" s="452"/>
      <c r="AO35" s="474">
        <f t="shared" si="66"/>
        <v>0</v>
      </c>
      <c r="AP35" s="473">
        <f t="shared" si="67"/>
        <v>0</v>
      </c>
      <c r="AQ35" s="473">
        <f t="shared" si="68"/>
        <v>0</v>
      </c>
      <c r="AR35" s="474">
        <f t="shared" si="69"/>
        <v>0</v>
      </c>
      <c r="AS35" s="474">
        <f t="shared" si="70"/>
        <v>0</v>
      </c>
      <c r="AT35" s="473"/>
      <c r="AU35" s="431">
        <f t="shared" si="71"/>
        <v>0</v>
      </c>
      <c r="AV35" s="250"/>
      <c r="AW35" s="251"/>
      <c r="AX35" s="356"/>
      <c r="AY35" s="530"/>
    </row>
    <row r="36" spans="1:51" s="52" customFormat="1" ht="12" customHeight="1">
      <c r="A36" s="256">
        <v>3</v>
      </c>
      <c r="B36" s="963">
        <f>IF($B28="","",IF($B29="",B28,IF($B30="",B29,IF($B31="",B30,IF($B32="",B31,IF($B33="",B32,IF($B34="",B33,IF($B35="",B34,B35))))))))</f>
        <v>9</v>
      </c>
      <c r="C36" s="968"/>
      <c r="D36" s="966" t="str">
        <f>IF($B28="","",IF($B29="",D28,IF($B30="",D29,IF($B31="",D30,IF($B32="",D31,IF($B33="",D32,IF($B34="",D33,IF($B35="",D34,D35))))))))</f>
        <v>CP-3 Colvos Light #5</v>
      </c>
      <c r="E36" s="627"/>
      <c r="F36" s="544">
        <f>IF($B28="","",IF($B29="",F28,IF($B30="",F29,IF($B31="",F30,IF($B32="",F31,IF($B33="",F32,IF($B34="",F33,IF($B35="",F34,F35))))))))</f>
        <v>0</v>
      </c>
      <c r="G36" s="545">
        <f>IF($B28="","",IF($B29="",G28,IF($B30="",G29,IF($B31="",G30,IF($B32="",G31,IF($B33="",G32,IF($B34="",G33,IF($B35="",G34,G35))))))))</f>
        <v>0</v>
      </c>
      <c r="H36" s="540"/>
      <c r="I36" s="503">
        <f>IF($B28="","",IF($B29="",I28,IF($B30="",I29,IF($B31="",I30,IF($B32="",I31,IF($B33="",I32,IF($B34="",I33,IF($B35="",I34,I35))))))))</f>
        <v>0</v>
      </c>
      <c r="J36" s="540">
        <f>IF($B28="","",IF($B29="",J28,IF($B30="",J29,IF($B31="",J30,IF($B32="",J31,IF($B33="",J32,IF($B34="",J33,IF($B35="",J34,J35))))))))</f>
        <v>0</v>
      </c>
      <c r="K36" s="739"/>
      <c r="L36" s="801"/>
      <c r="M36" s="708"/>
      <c r="N36" s="709">
        <f>IF($B28="","",IF($B29="",N28,IF($B30="",N29,IF($B31="",N30,IF($B32="",N31,IF($B33="",N32,IF($B34="",N33,IF($B35="",N34,N35))))))))</f>
        <v>197</v>
      </c>
      <c r="O36" s="767"/>
      <c r="P36" s="967"/>
      <c r="Q36" s="255">
        <f>SUM(Q28:Q35)</f>
        <v>2.140876</v>
      </c>
      <c r="R36" s="803">
        <f>Q36*3600/S36</f>
        <v>9.996308171206225</v>
      </c>
      <c r="S36" s="279">
        <f>SUM(S28:S35)</f>
        <v>771</v>
      </c>
      <c r="T36" s="469">
        <f>SUM(T28:T35)</f>
        <v>15</v>
      </c>
      <c r="U36" s="469">
        <f>SUM(U28:U35)</f>
        <v>0</v>
      </c>
      <c r="V36" s="252" t="str">
        <f>IF($B28="","",IF($B29="",$A28,IF($B30="",$A29,IF($B31="",$A30,IF($B32="",$A31,IF($B33="",$A32,IF($B34="",$A33,IF($B35="",$A34,$A35))))))))</f>
        <v>C</v>
      </c>
      <c r="W36" s="208">
        <f>ROUND(SUM(W28:W35),0)</f>
        <v>786</v>
      </c>
      <c r="X36" s="257">
        <f t="shared" si="59"/>
        <v>0.0090972426</v>
      </c>
      <c r="Y36" s="258">
        <f>TIMEVALUE(Y27)+TIMEVALUE(X36)</f>
        <v>0.5593517825777777</v>
      </c>
      <c r="Z36" s="410"/>
      <c r="AA36" s="414"/>
      <c r="AB36" s="584"/>
      <c r="AC36" s="585"/>
      <c r="AD36" s="415">
        <f>(AD28*$Q28+AD29*$Q29+AD30*$Q30+AD31*$Q31+AD32*$Q32+AD33*$Q33+AD34*$Q34+AD35*$Q35)/$Q36</f>
        <v>10</v>
      </c>
      <c r="AE36" s="554">
        <f>(AE28*$Q28+AE29*$Q29+AE30*$Q30+AE31*$Q31+AE32*$Q32+AE33*$Q33+AE34*$Q34+AE35*$Q35)/$Q36</f>
        <v>359.99999999999994</v>
      </c>
      <c r="AF36" s="554">
        <f>(AF28*$Q28+AF29*$Q29+AF30*$Q30+AF31*$Q31+AF32*$Q32+AF33*$Q33+AF34*$Q34+AF35*$Q35)/$Q36</f>
        <v>0</v>
      </c>
      <c r="AG36" s="254">
        <f>IF($B28="",0,IF($B29="",AG28,IF($B30="",AG29,IF($B31="",AG30,IF($B32="",AG31,IF($B33="",AG32,IF($B34="",AG33,IF($B35="",AG34,AG35))))))))</f>
        <v>0</v>
      </c>
      <c r="AH36" s="1726"/>
      <c r="AI36" s="136">
        <f>IF(TIMEVALUE(AG36)=0,0,TIMEVALUE(AG36)-TIMEVALUE(AG27)-TIMEVALUE(AH36))</f>
        <v>0</v>
      </c>
      <c r="AJ36" s="140">
        <f t="shared" si="9"/>
        <v>0</v>
      </c>
      <c r="AK36" s="415">
        <f>(AK28*$Q28+AK29*$Q29+AK30*$Q30+AK31*$Q31+AK32*$Q32+AK33*$Q33+AK34*$Q34+AK35*$Q35)/$Q36</f>
        <v>0</v>
      </c>
      <c r="AL36" s="415">
        <f>(AL28*$Q28+AL29*$Q29+AL30*$Q30+AL31*$Q31+AL32*$Q32+AL33*$Q33+AL34*$Q34+AL35*$Q35)/$Q36</f>
        <v>0</v>
      </c>
      <c r="AM36" s="382">
        <f t="shared" si="11"/>
        <v>0</v>
      </c>
      <c r="AN36" s="453"/>
      <c r="AO36" s="481"/>
      <c r="AP36" s="482"/>
      <c r="AQ36" s="482"/>
      <c r="AR36" s="481"/>
      <c r="AS36" s="482"/>
      <c r="AT36" s="482"/>
      <c r="AU36" s="277"/>
      <c r="AV36" s="75"/>
      <c r="AW36" s="57"/>
      <c r="AX36" s="480"/>
      <c r="AY36" s="732"/>
    </row>
    <row r="37" spans="1:139" s="249" customFormat="1" ht="12.75">
      <c r="A37" s="1018" t="s">
        <v>78</v>
      </c>
      <c r="B37" s="1660">
        <v>10</v>
      </c>
      <c r="C37" s="1660"/>
      <c r="D37" s="1665" t="s">
        <v>427</v>
      </c>
      <c r="E37" s="961">
        <f aca="true" t="shared" si="74" ref="E37:E44">IF(C37="","",X37)</f>
      </c>
      <c r="F37" s="1676"/>
      <c r="G37" s="1698"/>
      <c r="H37" s="1684"/>
      <c r="I37" s="1679"/>
      <c r="J37" s="1680"/>
      <c r="K37" s="1681">
        <v>180.071444</v>
      </c>
      <c r="L37" s="800">
        <f t="shared" si="13"/>
        <v>180.071444</v>
      </c>
      <c r="M37" s="1009"/>
      <c r="N37" s="707">
        <f aca="true" t="shared" si="75" ref="N37:N44">IF(K37=0,0,IF(AU37&gt;360,AU37-360,IF(AU37&lt;0,AU37+360,AU37)))</f>
        <v>180</v>
      </c>
      <c r="O37" s="710">
        <f aca="true" t="shared" si="76" ref="O37:O44">IF(K37=0,0,ABS(IF(ABS(N37-N36)&lt;180.1,ABS(N37-N36),(IF(N37-N36&gt;180,(360+N36-N37),(360+N37-N36))))))</f>
        <v>17</v>
      </c>
      <c r="P37" s="769">
        <f t="shared" si="19"/>
        <v>-0.21803641733524484</v>
      </c>
      <c r="Q37" s="1007">
        <v>1.220511</v>
      </c>
      <c r="R37" s="802">
        <f aca="true" t="shared" si="77" ref="R37:R44">IF(A37="SLOW",$J$5,$J$4)</f>
        <v>10</v>
      </c>
      <c r="S37" s="97">
        <f aca="true" t="shared" si="78" ref="S37:S71">ROUND(Q37*3600/R37,0)</f>
        <v>439</v>
      </c>
      <c r="T37" s="765">
        <f aca="true" t="shared" si="79" ref="T37:T44">IF(K37=0,0,IF(AO37&lt;0,AP37,AQ37))</f>
        <v>1</v>
      </c>
      <c r="U37" s="467">
        <f aca="true" t="shared" si="80" ref="U37:U44">ROUND(AF37*Q37,0)</f>
        <v>0</v>
      </c>
      <c r="V37" s="31">
        <f>IF($B37="",0,IF($A37=$A35,0,IF($A37=V36,0,(IF($A37="SLOW",P$3,P$4)))))</f>
        <v>0</v>
      </c>
      <c r="W37" s="105">
        <f aca="true" t="shared" si="81" ref="W37:W44">ROUND(S37+T37+U37+V37,0)</f>
        <v>440</v>
      </c>
      <c r="X37" s="23">
        <f aca="true" t="shared" si="82" ref="X37:X81">W37*0.0000115741</f>
        <v>0.005092604</v>
      </c>
      <c r="Y37" s="32">
        <f aca="true" t="shared" si="83" ref="Y37:Y44">IF(W37=0,0,TIMEVALUE(Y36)+TIMEVALUE(X37))</f>
        <v>0.5644443865777777</v>
      </c>
      <c r="Z37" s="409">
        <f aca="true" t="shared" si="84" ref="Z37:Z44">IF(Y37=0,0,AVERAGE(Y37,Y36))</f>
        <v>0.5618980845777777</v>
      </c>
      <c r="AA37" s="171">
        <f>B37</f>
        <v>10</v>
      </c>
      <c r="AB37" s="1730"/>
      <c r="AC37" s="1731"/>
      <c r="AD37" s="48">
        <f aca="true" t="shared" si="85" ref="AD37:AD44">(AC37*COS((AB37-K37)/57.29))+SQRT((AC37*COS((AB37-K37)/57.29))*(AC37*COS((AB37-K37)/57.29))-(AC37*AC37)+(R37*R37))</f>
        <v>10</v>
      </c>
      <c r="AE37" s="29">
        <f>3600/AD37</f>
        <v>360</v>
      </c>
      <c r="AF37" s="31">
        <f aca="true" t="shared" si="86" ref="AF37:AF44">AE37-(3600/R37)</f>
        <v>0</v>
      </c>
      <c r="AG37" s="1727"/>
      <c r="AH37" s="836"/>
      <c r="AI37" s="25">
        <f aca="true" t="shared" si="87" ref="AI37:AI44">IF(TIMEVALUE(AG37)=0,0,TIMEVALUE(AG37)-TIMEVALUE(AG36)-TIMEVALUE(AH37))</f>
        <v>0</v>
      </c>
      <c r="AJ37" s="24">
        <f t="shared" si="9"/>
        <v>0</v>
      </c>
      <c r="AK37" s="379">
        <f t="shared" si="15"/>
        <v>0</v>
      </c>
      <c r="AL37" s="380">
        <f aca="true" t="shared" si="88" ref="AL37:AL44">IF(A37="SLOW",AD37-$J$5,AD37-$J$4)</f>
        <v>0</v>
      </c>
      <c r="AM37" s="134">
        <f t="shared" si="11"/>
        <v>0</v>
      </c>
      <c r="AN37" s="452"/>
      <c r="AO37" s="474">
        <f aca="true" t="shared" si="89" ref="AO37:AO44">IF(K37=0,0,IF(ABS(N37-N36)&gt;180,IF(N37&gt;N36,N37-N36-360,N37-N36+360),N37-N36))</f>
        <v>-17</v>
      </c>
      <c r="AP37" s="473">
        <f aca="true" t="shared" si="90" ref="AP37:AP44">ROUND(IF(AO37=0,0,(ABS(AO37)*(1/$R$4+0.03333)-(57.3/$R$4)*SIN(ABS(AO37/57.3)))),0)</f>
        <v>1</v>
      </c>
      <c r="AQ37" s="473">
        <f aca="true" t="shared" si="91" ref="AQ37:AQ44">ROUND(IF(AO37=0,0,(ABS(AO37)*(1/$S$4+0.03333)-(57.3/$S$4)*SIN(ABS(AO37/57.3)))),0)</f>
        <v>1</v>
      </c>
      <c r="AR37" s="474">
        <f aca="true" t="shared" si="92" ref="AR37:AR44">IF(K37="",0,((32.3*$R37/$R$4)*(1-COS(ABS(AO37)/57.3))+2.252*$R37*SIN(ABS(AO37)/57.3))/(2025*TAN($Q37/57.3)))</f>
        <v>0.21803641733524484</v>
      </c>
      <c r="AS37" s="474">
        <f aca="true" t="shared" si="93" ref="AS37:AS44">IF(K37="",0,((32.3*$R37/$S$4)*(1-COS(ABS(AO37)/57.3))+2.252*$R37*SIN(ABS(AO37)/57.3))/(2025*TAN($Q37/57.3)))</f>
        <v>0.20713271124214952</v>
      </c>
      <c r="AT37" s="473"/>
      <c r="AU37" s="431">
        <f aca="true" t="shared" si="94" ref="AU37:AU44">ROUND(K37-57.29*ASIN(AC37/R37*SIN((AB37-K37)/57.29))+$R$3+M37,0)</f>
        <v>180</v>
      </c>
      <c r="AV37" s="306">
        <f>IF(K35&lt;&gt;0,K35,IF(K34&lt;&gt;0,K34,IF(K33&lt;&gt;0,K33,IF(K32&lt;&gt;0,K32,IF(K31&lt;&gt;0,K31,IF(K30&lt;&gt;0,K30,IF(K29&lt;&gt;0,K29,K28)))))))</f>
        <v>196.648578</v>
      </c>
      <c r="AW37" s="267"/>
      <c r="AX37" s="356"/>
      <c r="AY37" s="530"/>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c r="BY37" s="268"/>
      <c r="BZ37" s="268"/>
      <c r="CA37" s="268"/>
      <c r="CB37" s="268"/>
      <c r="CC37" s="268"/>
      <c r="CD37" s="268"/>
      <c r="CE37" s="268"/>
      <c r="CF37" s="268"/>
      <c r="CG37" s="268"/>
      <c r="CH37" s="268"/>
      <c r="CI37" s="268"/>
      <c r="CJ37" s="268"/>
      <c r="CK37" s="268"/>
      <c r="CL37" s="268"/>
      <c r="CM37" s="268"/>
      <c r="CN37" s="268"/>
      <c r="CO37" s="268"/>
      <c r="CP37" s="268"/>
      <c r="CQ37" s="268"/>
      <c r="CR37" s="268"/>
      <c r="CS37" s="268"/>
      <c r="CT37" s="268"/>
      <c r="CU37" s="268"/>
      <c r="CV37" s="268"/>
      <c r="CW37" s="268"/>
      <c r="CX37" s="268"/>
      <c r="CY37" s="268"/>
      <c r="CZ37" s="268"/>
      <c r="DA37" s="268"/>
      <c r="DB37" s="268"/>
      <c r="DC37" s="268"/>
      <c r="DD37" s="268"/>
      <c r="DE37" s="268"/>
      <c r="DF37" s="268"/>
      <c r="DG37" s="268"/>
      <c r="DH37" s="268"/>
      <c r="DI37" s="268"/>
      <c r="DJ37" s="268"/>
      <c r="DK37" s="268"/>
      <c r="DL37" s="268"/>
      <c r="DM37" s="268"/>
      <c r="DN37" s="268"/>
      <c r="DO37" s="268"/>
      <c r="DP37" s="268"/>
      <c r="DQ37" s="268"/>
      <c r="DR37" s="268"/>
      <c r="DS37" s="268"/>
      <c r="DT37" s="268"/>
      <c r="DU37" s="268"/>
      <c r="DV37" s="268"/>
      <c r="DW37" s="268"/>
      <c r="DX37" s="268"/>
      <c r="DY37" s="268"/>
      <c r="DZ37" s="268"/>
      <c r="EA37" s="268"/>
      <c r="EB37" s="268"/>
      <c r="EC37" s="268"/>
      <c r="ED37" s="268"/>
      <c r="EE37" s="268"/>
      <c r="EF37" s="268"/>
      <c r="EG37" s="268"/>
      <c r="EH37" s="268"/>
      <c r="EI37" s="268"/>
    </row>
    <row r="38" spans="1:139" s="249" customFormat="1" ht="12.75">
      <c r="A38" s="1013" t="s">
        <v>78</v>
      </c>
      <c r="B38" s="1660">
        <v>11</v>
      </c>
      <c r="C38" s="1660"/>
      <c r="D38" s="1665" t="s">
        <v>428</v>
      </c>
      <c r="E38" s="961">
        <f t="shared" si="74"/>
      </c>
      <c r="F38" s="1676"/>
      <c r="G38" s="1698"/>
      <c r="H38" s="1684"/>
      <c r="I38" s="1679"/>
      <c r="J38" s="1685"/>
      <c r="K38" s="1681">
        <v>167.165342</v>
      </c>
      <c r="L38" s="800">
        <f t="shared" si="13"/>
        <v>167.165342</v>
      </c>
      <c r="M38" s="1010"/>
      <c r="N38" s="707">
        <f t="shared" si="75"/>
        <v>167</v>
      </c>
      <c r="O38" s="710">
        <f t="shared" si="76"/>
        <v>13</v>
      </c>
      <c r="P38" s="799">
        <f t="shared" si="19"/>
        <v>-0.29774655383506315</v>
      </c>
      <c r="Q38" s="1007">
        <v>0.638701</v>
      </c>
      <c r="R38" s="802">
        <f t="shared" si="77"/>
        <v>10</v>
      </c>
      <c r="S38" s="484">
        <f t="shared" si="78"/>
        <v>230</v>
      </c>
      <c r="T38" s="765">
        <f t="shared" si="79"/>
        <v>0</v>
      </c>
      <c r="U38" s="467">
        <f t="shared" si="80"/>
        <v>0</v>
      </c>
      <c r="V38" s="31">
        <f aca="true" t="shared" si="95" ref="V38:V44">IF(B38="",0,IF(A38=A37,0,IF(A38="SLOW",P$3,P$4)))</f>
        <v>0</v>
      </c>
      <c r="W38" s="105">
        <f t="shared" si="81"/>
        <v>230</v>
      </c>
      <c r="X38" s="23">
        <f t="shared" si="82"/>
        <v>0.002662043</v>
      </c>
      <c r="Y38" s="32">
        <f t="shared" si="83"/>
        <v>0.5671064295777777</v>
      </c>
      <c r="Z38" s="409">
        <f t="shared" si="84"/>
        <v>0.5657754080777777</v>
      </c>
      <c r="AA38" s="171">
        <f>B38</f>
        <v>11</v>
      </c>
      <c r="AB38" s="1717"/>
      <c r="AC38" s="1718"/>
      <c r="AD38" s="48">
        <f t="shared" si="85"/>
        <v>10</v>
      </c>
      <c r="AE38" s="29">
        <f>3600/AD38</f>
        <v>360</v>
      </c>
      <c r="AF38" s="31">
        <f t="shared" si="86"/>
        <v>0</v>
      </c>
      <c r="AG38" s="1727"/>
      <c r="AH38" s="836"/>
      <c r="AI38" s="25">
        <f t="shared" si="87"/>
        <v>0</v>
      </c>
      <c r="AJ38" s="24">
        <f t="shared" si="9"/>
        <v>0</v>
      </c>
      <c r="AK38" s="379">
        <f t="shared" si="15"/>
        <v>0</v>
      </c>
      <c r="AL38" s="380">
        <f t="shared" si="88"/>
        <v>0</v>
      </c>
      <c r="AM38" s="134">
        <f t="shared" si="11"/>
        <v>0</v>
      </c>
      <c r="AN38" s="452"/>
      <c r="AO38" s="474">
        <f t="shared" si="89"/>
        <v>-13</v>
      </c>
      <c r="AP38" s="473">
        <f t="shared" si="90"/>
        <v>0</v>
      </c>
      <c r="AQ38" s="473">
        <f t="shared" si="91"/>
        <v>0</v>
      </c>
      <c r="AR38" s="474">
        <f t="shared" si="92"/>
        <v>0.29774655383506315</v>
      </c>
      <c r="AS38" s="474">
        <f t="shared" si="93"/>
        <v>0.2855235180631306</v>
      </c>
      <c r="AT38" s="473"/>
      <c r="AU38" s="431">
        <f t="shared" si="94"/>
        <v>167</v>
      </c>
      <c r="AV38" s="250"/>
      <c r="AW38" s="267"/>
      <c r="AX38" s="271"/>
      <c r="AY38" s="268"/>
      <c r="AZ38" s="268"/>
      <c r="BA38" s="268"/>
      <c r="BB38" s="268"/>
      <c r="BC38" s="268"/>
      <c r="BD38" s="268"/>
      <c r="BE38" s="268"/>
      <c r="BF38" s="268"/>
      <c r="BG38" s="268"/>
      <c r="BH38" s="268"/>
      <c r="BI38" s="268"/>
      <c r="BJ38" s="268"/>
      <c r="BK38" s="268"/>
      <c r="BL38" s="268"/>
      <c r="BM38" s="268"/>
      <c r="BN38" s="268"/>
      <c r="BO38" s="268"/>
      <c r="BP38" s="268"/>
      <c r="BQ38" s="268"/>
      <c r="BR38" s="268"/>
      <c r="BS38" s="268"/>
      <c r="BT38" s="268"/>
      <c r="BU38" s="268"/>
      <c r="BV38" s="268"/>
      <c r="BW38" s="268"/>
      <c r="BX38" s="268"/>
      <c r="BY38" s="268"/>
      <c r="BZ38" s="268"/>
      <c r="CA38" s="268"/>
      <c r="CB38" s="268"/>
      <c r="CC38" s="268"/>
      <c r="CD38" s="268"/>
      <c r="CE38" s="268"/>
      <c r="CF38" s="268"/>
      <c r="CG38" s="268"/>
      <c r="CH38" s="268"/>
      <c r="CI38" s="268"/>
      <c r="CJ38" s="268"/>
      <c r="CK38" s="268"/>
      <c r="CL38" s="268"/>
      <c r="CM38" s="268"/>
      <c r="CN38" s="268"/>
      <c r="CO38" s="268"/>
      <c r="CP38" s="268"/>
      <c r="CQ38" s="268"/>
      <c r="CR38" s="268"/>
      <c r="CS38" s="268"/>
      <c r="CT38" s="268"/>
      <c r="CU38" s="268"/>
      <c r="CV38" s="268"/>
      <c r="CW38" s="268"/>
      <c r="CX38" s="268"/>
      <c r="CY38" s="268"/>
      <c r="CZ38" s="268"/>
      <c r="DA38" s="268"/>
      <c r="DB38" s="268"/>
      <c r="DC38" s="268"/>
      <c r="DD38" s="268"/>
      <c r="DE38" s="268"/>
      <c r="DF38" s="268"/>
      <c r="DG38" s="268"/>
      <c r="DH38" s="268"/>
      <c r="DI38" s="268"/>
      <c r="DJ38" s="268"/>
      <c r="DK38" s="268"/>
      <c r="DL38" s="268"/>
      <c r="DM38" s="268"/>
      <c r="DN38" s="268"/>
      <c r="DO38" s="268"/>
      <c r="DP38" s="268"/>
      <c r="DQ38" s="268"/>
      <c r="DR38" s="268"/>
      <c r="DS38" s="268"/>
      <c r="DT38" s="268"/>
      <c r="DU38" s="268"/>
      <c r="DV38" s="268"/>
      <c r="DW38" s="268"/>
      <c r="DX38" s="268"/>
      <c r="DY38" s="268"/>
      <c r="DZ38" s="268"/>
      <c r="EA38" s="268"/>
      <c r="EB38" s="268"/>
      <c r="EC38" s="268"/>
      <c r="ED38" s="268"/>
      <c r="EE38" s="268"/>
      <c r="EF38" s="268"/>
      <c r="EG38" s="268"/>
      <c r="EH38" s="268"/>
      <c r="EI38" s="268"/>
    </row>
    <row r="39" spans="1:139" s="249" customFormat="1" ht="12.75">
      <c r="A39" s="1018" t="s">
        <v>78</v>
      </c>
      <c r="B39" s="1660">
        <v>12</v>
      </c>
      <c r="C39" s="1660"/>
      <c r="D39" s="1665" t="s">
        <v>429</v>
      </c>
      <c r="E39" s="961">
        <f t="shared" si="74"/>
      </c>
      <c r="F39" s="1676"/>
      <c r="G39" s="1683"/>
      <c r="H39" s="1688"/>
      <c r="I39" s="1679"/>
      <c r="J39" s="1684"/>
      <c r="K39" s="1681">
        <v>192.440056</v>
      </c>
      <c r="L39" s="800">
        <f t="shared" si="13"/>
        <v>192.440056</v>
      </c>
      <c r="M39" s="1010"/>
      <c r="N39" s="707">
        <f t="shared" si="75"/>
        <v>192</v>
      </c>
      <c r="O39" s="710">
        <f t="shared" si="76"/>
        <v>25</v>
      </c>
      <c r="P39" s="799">
        <f t="shared" si="19"/>
        <v>0.3885248643509882</v>
      </c>
      <c r="Q39" s="1007">
        <v>1.060266</v>
      </c>
      <c r="R39" s="802">
        <f t="shared" si="77"/>
        <v>10</v>
      </c>
      <c r="S39" s="97">
        <f t="shared" si="78"/>
        <v>382</v>
      </c>
      <c r="T39" s="765">
        <f t="shared" si="79"/>
        <v>1</v>
      </c>
      <c r="U39" s="467">
        <f t="shared" si="80"/>
        <v>0</v>
      </c>
      <c r="V39" s="31">
        <f t="shared" si="95"/>
        <v>0</v>
      </c>
      <c r="W39" s="105">
        <f t="shared" si="81"/>
        <v>383</v>
      </c>
      <c r="X39" s="23">
        <f t="shared" si="82"/>
        <v>0.0044328803</v>
      </c>
      <c r="Y39" s="32">
        <f t="shared" si="83"/>
        <v>0.5715393098777777</v>
      </c>
      <c r="Z39" s="409">
        <f t="shared" si="84"/>
        <v>0.5693228697277777</v>
      </c>
      <c r="AA39" s="171">
        <f aca="true" t="shared" si="96" ref="AA39:AA44">B39</f>
        <v>12</v>
      </c>
      <c r="AB39" s="1717"/>
      <c r="AC39" s="1718"/>
      <c r="AD39" s="48">
        <f t="shared" si="85"/>
        <v>10</v>
      </c>
      <c r="AE39" s="29">
        <f aca="true" t="shared" si="97" ref="AE39:AE80">3600/AD39</f>
        <v>360</v>
      </c>
      <c r="AF39" s="31">
        <f t="shared" si="86"/>
        <v>0</v>
      </c>
      <c r="AG39" s="1728"/>
      <c r="AH39" s="836"/>
      <c r="AI39" s="25">
        <f t="shared" si="87"/>
        <v>0</v>
      </c>
      <c r="AJ39" s="24">
        <f t="shared" si="9"/>
        <v>0</v>
      </c>
      <c r="AK39" s="379">
        <f t="shared" si="15"/>
        <v>0</v>
      </c>
      <c r="AL39" s="380">
        <f t="shared" si="88"/>
        <v>0</v>
      </c>
      <c r="AM39" s="134">
        <f t="shared" si="11"/>
        <v>0</v>
      </c>
      <c r="AN39" s="452"/>
      <c r="AO39" s="474">
        <f t="shared" si="89"/>
        <v>25</v>
      </c>
      <c r="AP39" s="473">
        <f t="shared" si="90"/>
        <v>1</v>
      </c>
      <c r="AQ39" s="473">
        <f t="shared" si="91"/>
        <v>1</v>
      </c>
      <c r="AR39" s="474">
        <f t="shared" si="92"/>
        <v>0.41543940630632203</v>
      </c>
      <c r="AS39" s="474">
        <f t="shared" si="93"/>
        <v>0.3885248643509882</v>
      </c>
      <c r="AT39" s="473"/>
      <c r="AU39" s="431">
        <f t="shared" si="94"/>
        <v>192</v>
      </c>
      <c r="AV39" s="250"/>
      <c r="AW39" s="267"/>
      <c r="AX39" s="271"/>
      <c r="AY39" s="268"/>
      <c r="AZ39" s="268"/>
      <c r="BA39" s="268"/>
      <c r="BB39" s="268"/>
      <c r="BC39" s="268"/>
      <c r="BD39" s="268"/>
      <c r="BE39" s="268"/>
      <c r="BF39" s="268"/>
      <c r="BG39" s="268"/>
      <c r="BH39" s="268"/>
      <c r="BI39" s="268"/>
      <c r="BJ39" s="268"/>
      <c r="BK39" s="268"/>
      <c r="BL39" s="268"/>
      <c r="BM39" s="268"/>
      <c r="BN39" s="268"/>
      <c r="BO39" s="268"/>
      <c r="BP39" s="268"/>
      <c r="BQ39" s="268"/>
      <c r="BR39" s="268"/>
      <c r="BS39" s="268"/>
      <c r="BT39" s="268"/>
      <c r="BU39" s="268"/>
      <c r="BV39" s="268"/>
      <c r="BW39" s="268"/>
      <c r="BX39" s="268"/>
      <c r="BY39" s="268"/>
      <c r="BZ39" s="268"/>
      <c r="CA39" s="268"/>
      <c r="CB39" s="268"/>
      <c r="CC39" s="268"/>
      <c r="CD39" s="268"/>
      <c r="CE39" s="268"/>
      <c r="CF39" s="268"/>
      <c r="CG39" s="268"/>
      <c r="CH39" s="268"/>
      <c r="CI39" s="268"/>
      <c r="CJ39" s="268"/>
      <c r="CK39" s="268"/>
      <c r="CL39" s="268"/>
      <c r="CM39" s="268"/>
      <c r="CN39" s="268"/>
      <c r="CO39" s="268"/>
      <c r="CP39" s="268"/>
      <c r="CQ39" s="268"/>
      <c r="CR39" s="268"/>
      <c r="CS39" s="268"/>
      <c r="CT39" s="268"/>
      <c r="CU39" s="268"/>
      <c r="CV39" s="268"/>
      <c r="CW39" s="268"/>
      <c r="CX39" s="268"/>
      <c r="CY39" s="268"/>
      <c r="CZ39" s="268"/>
      <c r="DA39" s="268"/>
      <c r="DB39" s="268"/>
      <c r="DC39" s="268"/>
      <c r="DD39" s="268"/>
      <c r="DE39" s="268"/>
      <c r="DF39" s="268"/>
      <c r="DG39" s="268"/>
      <c r="DH39" s="268"/>
      <c r="DI39" s="268"/>
      <c r="DJ39" s="268"/>
      <c r="DK39" s="268"/>
      <c r="DL39" s="268"/>
      <c r="DM39" s="268"/>
      <c r="DN39" s="268"/>
      <c r="DO39" s="268"/>
      <c r="DP39" s="268"/>
      <c r="DQ39" s="268"/>
      <c r="DR39" s="268"/>
      <c r="DS39" s="268"/>
      <c r="DT39" s="268"/>
      <c r="DU39" s="268"/>
      <c r="DV39" s="268"/>
      <c r="DW39" s="268"/>
      <c r="DX39" s="268"/>
      <c r="DY39" s="268"/>
      <c r="DZ39" s="268"/>
      <c r="EA39" s="268"/>
      <c r="EB39" s="268"/>
      <c r="EC39" s="268"/>
      <c r="ED39" s="268"/>
      <c r="EE39" s="268"/>
      <c r="EF39" s="268"/>
      <c r="EG39" s="268"/>
      <c r="EH39" s="268"/>
      <c r="EI39" s="268"/>
    </row>
    <row r="40" spans="1:139" s="53" customFormat="1" ht="12.75">
      <c r="A40" s="1018" t="s">
        <v>78</v>
      </c>
      <c r="B40" s="1660">
        <v>13</v>
      </c>
      <c r="C40" s="1660"/>
      <c r="D40" s="1665" t="s">
        <v>430</v>
      </c>
      <c r="E40" s="961">
        <f t="shared" si="74"/>
      </c>
      <c r="F40" s="1703"/>
      <c r="G40" s="1704"/>
      <c r="H40" s="1705"/>
      <c r="I40" s="1706"/>
      <c r="J40" s="1705"/>
      <c r="K40" s="1681">
        <v>169.998384</v>
      </c>
      <c r="L40" s="800">
        <f t="shared" si="13"/>
        <v>169.998384</v>
      </c>
      <c r="M40" s="1010"/>
      <c r="N40" s="707">
        <f t="shared" si="75"/>
        <v>170</v>
      </c>
      <c r="O40" s="710">
        <f t="shared" si="76"/>
        <v>22</v>
      </c>
      <c r="P40" s="799">
        <f t="shared" si="19"/>
        <v>-0.42771637230812415</v>
      </c>
      <c r="Q40" s="1007">
        <v>0.869152</v>
      </c>
      <c r="R40" s="802">
        <f t="shared" si="77"/>
        <v>10</v>
      </c>
      <c r="S40" s="162">
        <f t="shared" si="78"/>
        <v>313</v>
      </c>
      <c r="T40" s="765">
        <f t="shared" si="79"/>
        <v>1</v>
      </c>
      <c r="U40" s="549">
        <f t="shared" si="80"/>
        <v>0</v>
      </c>
      <c r="V40" s="269">
        <f t="shared" si="95"/>
        <v>0</v>
      </c>
      <c r="W40" s="105">
        <f t="shared" si="81"/>
        <v>314</v>
      </c>
      <c r="X40" s="506">
        <f t="shared" si="82"/>
        <v>0.0036342673999999998</v>
      </c>
      <c r="Y40" s="164">
        <f t="shared" si="83"/>
        <v>0.5751735772777776</v>
      </c>
      <c r="Z40" s="409">
        <f t="shared" si="84"/>
        <v>0.5733564435777776</v>
      </c>
      <c r="AA40" s="175">
        <f t="shared" si="96"/>
        <v>13</v>
      </c>
      <c r="AB40" s="1717"/>
      <c r="AC40" s="1718"/>
      <c r="AD40" s="166">
        <f t="shared" si="85"/>
        <v>10</v>
      </c>
      <c r="AE40" s="165">
        <f t="shared" si="97"/>
        <v>360</v>
      </c>
      <c r="AF40" s="269">
        <f t="shared" si="86"/>
        <v>0</v>
      </c>
      <c r="AG40" s="1742"/>
      <c r="AH40" s="841"/>
      <c r="AI40" s="25">
        <f t="shared" si="87"/>
        <v>0</v>
      </c>
      <c r="AJ40" s="163">
        <f t="shared" si="9"/>
        <v>0</v>
      </c>
      <c r="AK40" s="379">
        <f t="shared" si="15"/>
        <v>0</v>
      </c>
      <c r="AL40" s="383">
        <f t="shared" si="88"/>
        <v>0</v>
      </c>
      <c r="AM40" s="507">
        <f t="shared" si="11"/>
        <v>0</v>
      </c>
      <c r="AN40" s="451"/>
      <c r="AO40" s="474">
        <f t="shared" si="89"/>
        <v>-22</v>
      </c>
      <c r="AP40" s="473">
        <f t="shared" si="90"/>
        <v>1</v>
      </c>
      <c r="AQ40" s="473">
        <f t="shared" si="91"/>
        <v>1</v>
      </c>
      <c r="AR40" s="474">
        <f t="shared" si="92"/>
        <v>0.42771637230812415</v>
      </c>
      <c r="AS40" s="474">
        <f t="shared" si="93"/>
        <v>0.4021983911147906</v>
      </c>
      <c r="AT40" s="475"/>
      <c r="AU40" s="246">
        <f t="shared" si="94"/>
        <v>170</v>
      </c>
      <c r="AV40" s="74"/>
      <c r="AW40" s="98"/>
      <c r="AX40" s="217"/>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1"/>
      <c r="CL40" s="211"/>
      <c r="CM40" s="211"/>
      <c r="CN40" s="211"/>
      <c r="CO40" s="211"/>
      <c r="CP40" s="211"/>
      <c r="CQ40" s="211"/>
      <c r="CR40" s="211"/>
      <c r="CS40" s="211"/>
      <c r="CT40" s="211"/>
      <c r="CU40" s="211"/>
      <c r="CV40" s="211"/>
      <c r="CW40" s="211"/>
      <c r="CX40" s="211"/>
      <c r="CY40" s="211"/>
      <c r="CZ40" s="211"/>
      <c r="DA40" s="211"/>
      <c r="DB40" s="211"/>
      <c r="DC40" s="211"/>
      <c r="DD40" s="211"/>
      <c r="DE40" s="211"/>
      <c r="DF40" s="211"/>
      <c r="DG40" s="211"/>
      <c r="DH40" s="211"/>
      <c r="DI40" s="211"/>
      <c r="DJ40" s="211"/>
      <c r="DK40" s="211"/>
      <c r="DL40" s="211"/>
      <c r="DM40" s="211"/>
      <c r="DN40" s="211"/>
      <c r="DO40" s="211"/>
      <c r="DP40" s="211"/>
      <c r="DQ40" s="211"/>
      <c r="DR40" s="211"/>
      <c r="DS40" s="211"/>
      <c r="DT40" s="211"/>
      <c r="DU40" s="211"/>
      <c r="DV40" s="211"/>
      <c r="DW40" s="211"/>
      <c r="DX40" s="211"/>
      <c r="DY40" s="211"/>
      <c r="DZ40" s="211"/>
      <c r="EA40" s="211"/>
      <c r="EB40" s="211"/>
      <c r="EC40" s="211"/>
      <c r="ED40" s="211"/>
      <c r="EE40" s="211"/>
      <c r="EF40" s="211"/>
      <c r="EG40" s="211"/>
      <c r="EH40" s="211"/>
      <c r="EI40" s="211"/>
    </row>
    <row r="41" spans="1:139" s="249" customFormat="1" ht="13.5" customHeight="1">
      <c r="A41" s="1018" t="s">
        <v>78</v>
      </c>
      <c r="B41" s="1660">
        <v>14</v>
      </c>
      <c r="C41" s="1660"/>
      <c r="D41" s="1665" t="s">
        <v>431</v>
      </c>
      <c r="E41" s="961">
        <f t="shared" si="74"/>
      </c>
      <c r="F41" s="1707"/>
      <c r="G41" s="1683"/>
      <c r="H41" s="1688"/>
      <c r="I41" s="1679"/>
      <c r="J41" s="1688"/>
      <c r="K41" s="1681">
        <v>115.566813</v>
      </c>
      <c r="L41" s="800">
        <f t="shared" si="13"/>
        <v>115.566813</v>
      </c>
      <c r="M41" s="1010"/>
      <c r="N41" s="707">
        <f t="shared" si="75"/>
        <v>116</v>
      </c>
      <c r="O41" s="710">
        <f t="shared" si="76"/>
        <v>54</v>
      </c>
      <c r="P41" s="799">
        <f t="shared" si="19"/>
        <v>-3.200898107819239</v>
      </c>
      <c r="Q41" s="1007">
        <v>0.396416</v>
      </c>
      <c r="R41" s="802">
        <f t="shared" si="77"/>
        <v>10</v>
      </c>
      <c r="S41" s="97">
        <f t="shared" si="78"/>
        <v>143</v>
      </c>
      <c r="T41" s="765">
        <f t="shared" si="79"/>
        <v>3</v>
      </c>
      <c r="U41" s="467">
        <f t="shared" si="80"/>
        <v>0</v>
      </c>
      <c r="V41" s="31">
        <f t="shared" si="95"/>
        <v>0</v>
      </c>
      <c r="W41" s="105">
        <f t="shared" si="81"/>
        <v>146</v>
      </c>
      <c r="X41" s="23">
        <f t="shared" si="82"/>
        <v>0.0016898186</v>
      </c>
      <c r="Y41" s="32">
        <f t="shared" si="83"/>
        <v>0.5768633958777776</v>
      </c>
      <c r="Z41" s="409">
        <f t="shared" si="84"/>
        <v>0.5760184865777775</v>
      </c>
      <c r="AA41" s="171">
        <f t="shared" si="96"/>
        <v>14</v>
      </c>
      <c r="AB41" s="1717"/>
      <c r="AC41" s="1718"/>
      <c r="AD41" s="48">
        <f t="shared" si="85"/>
        <v>10</v>
      </c>
      <c r="AE41" s="29">
        <f t="shared" si="97"/>
        <v>360</v>
      </c>
      <c r="AF41" s="31">
        <f t="shared" si="86"/>
        <v>0</v>
      </c>
      <c r="AG41" s="1727"/>
      <c r="AH41" s="836"/>
      <c r="AI41" s="25">
        <f t="shared" si="87"/>
        <v>0</v>
      </c>
      <c r="AJ41" s="24">
        <f t="shared" si="9"/>
        <v>0</v>
      </c>
      <c r="AK41" s="379">
        <f t="shared" si="15"/>
        <v>0</v>
      </c>
      <c r="AL41" s="380">
        <f t="shared" si="88"/>
        <v>0</v>
      </c>
      <c r="AM41" s="134">
        <f t="shared" si="11"/>
        <v>0</v>
      </c>
      <c r="AN41" s="452"/>
      <c r="AO41" s="474">
        <f t="shared" si="89"/>
        <v>-54</v>
      </c>
      <c r="AP41" s="473">
        <f t="shared" si="90"/>
        <v>3</v>
      </c>
      <c r="AQ41" s="473">
        <f t="shared" si="91"/>
        <v>3</v>
      </c>
      <c r="AR41" s="474">
        <f t="shared" si="92"/>
        <v>3.200898107819239</v>
      </c>
      <c r="AS41" s="474">
        <f t="shared" si="93"/>
        <v>2.884147751894266</v>
      </c>
      <c r="AT41" s="475"/>
      <c r="AU41" s="431">
        <f t="shared" si="94"/>
        <v>116</v>
      </c>
      <c r="AV41" s="250"/>
      <c r="AW41" s="251"/>
      <c r="AX41" s="271"/>
      <c r="AY41" s="268"/>
      <c r="AZ41" s="268"/>
      <c r="BA41" s="268"/>
      <c r="BB41" s="268"/>
      <c r="BC41" s="268"/>
      <c r="BD41" s="268"/>
      <c r="BE41" s="268"/>
      <c r="BF41" s="268"/>
      <c r="BG41" s="268"/>
      <c r="BH41" s="268"/>
      <c r="BI41" s="268"/>
      <c r="BJ41" s="268"/>
      <c r="BK41" s="268"/>
      <c r="BL41" s="268"/>
      <c r="BM41" s="268"/>
      <c r="BN41" s="268"/>
      <c r="BO41" s="268"/>
      <c r="BP41" s="268"/>
      <c r="BQ41" s="268"/>
      <c r="BR41" s="268"/>
      <c r="BS41" s="268"/>
      <c r="BT41" s="268"/>
      <c r="BU41" s="268"/>
      <c r="BV41" s="268"/>
      <c r="BW41" s="268"/>
      <c r="BX41" s="268"/>
      <c r="BY41" s="268"/>
      <c r="BZ41" s="268"/>
      <c r="CA41" s="268"/>
      <c r="CB41" s="268"/>
      <c r="CC41" s="268"/>
      <c r="CD41" s="268"/>
      <c r="CE41" s="268"/>
      <c r="CF41" s="268"/>
      <c r="CG41" s="268"/>
      <c r="CH41" s="268"/>
      <c r="CI41" s="268"/>
      <c r="CJ41" s="268"/>
      <c r="CK41" s="268"/>
      <c r="CL41" s="268"/>
      <c r="CM41" s="268"/>
      <c r="CN41" s="268"/>
      <c r="CO41" s="268"/>
      <c r="CP41" s="268"/>
      <c r="CQ41" s="268"/>
      <c r="CR41" s="268"/>
      <c r="CS41" s="268"/>
      <c r="CT41" s="268"/>
      <c r="CU41" s="268"/>
      <c r="CV41" s="268"/>
      <c r="CW41" s="268"/>
      <c r="CX41" s="268"/>
      <c r="CY41" s="268"/>
      <c r="CZ41" s="268"/>
      <c r="DA41" s="268"/>
      <c r="DB41" s="268"/>
      <c r="DC41" s="268"/>
      <c r="DD41" s="268"/>
      <c r="DE41" s="268"/>
      <c r="DF41" s="268"/>
      <c r="DG41" s="268"/>
      <c r="DH41" s="268"/>
      <c r="DI41" s="268"/>
      <c r="DJ41" s="268"/>
      <c r="DK41" s="268"/>
      <c r="DL41" s="268"/>
      <c r="DM41" s="268"/>
      <c r="DN41" s="268"/>
      <c r="DO41" s="268"/>
      <c r="DP41" s="268"/>
      <c r="DQ41" s="268"/>
      <c r="DR41" s="268"/>
      <c r="DS41" s="268"/>
      <c r="DT41" s="268"/>
      <c r="DU41" s="268"/>
      <c r="DV41" s="268"/>
      <c r="DW41" s="268"/>
      <c r="DX41" s="268"/>
      <c r="DY41" s="268"/>
      <c r="DZ41" s="268"/>
      <c r="EA41" s="268"/>
      <c r="EB41" s="268"/>
      <c r="EC41" s="268"/>
      <c r="ED41" s="268"/>
      <c r="EE41" s="268"/>
      <c r="EF41" s="268"/>
      <c r="EG41" s="268"/>
      <c r="EH41" s="268"/>
      <c r="EI41" s="268"/>
    </row>
    <row r="42" spans="1:139" s="249" customFormat="1" ht="12.75">
      <c r="A42" s="1018" t="s">
        <v>78</v>
      </c>
      <c r="B42" s="1021"/>
      <c r="C42" s="1021"/>
      <c r="D42" s="1019"/>
      <c r="E42" s="805">
        <f t="shared" si="74"/>
      </c>
      <c r="F42" s="1682"/>
      <c r="G42" s="1683"/>
      <c r="H42" s="1684"/>
      <c r="I42" s="1679"/>
      <c r="J42" s="1688"/>
      <c r="K42" s="1667"/>
      <c r="L42" s="800">
        <f t="shared" si="13"/>
      </c>
      <c r="M42" s="1010"/>
      <c r="N42" s="707">
        <f t="shared" si="75"/>
        <v>0</v>
      </c>
      <c r="O42" s="710">
        <f t="shared" si="76"/>
        <v>0</v>
      </c>
      <c r="P42" s="799">
        <f t="shared" si="19"/>
        <v>0</v>
      </c>
      <c r="Q42" s="1008"/>
      <c r="R42" s="802">
        <f t="shared" si="77"/>
        <v>10</v>
      </c>
      <c r="S42" s="97">
        <f t="shared" si="78"/>
        <v>0</v>
      </c>
      <c r="T42" s="765">
        <f t="shared" si="79"/>
        <v>0</v>
      </c>
      <c r="U42" s="467">
        <f t="shared" si="80"/>
        <v>0</v>
      </c>
      <c r="V42" s="31">
        <f t="shared" si="95"/>
        <v>0</v>
      </c>
      <c r="W42" s="105">
        <f t="shared" si="81"/>
        <v>0</v>
      </c>
      <c r="X42" s="54">
        <f t="shared" si="82"/>
        <v>0</v>
      </c>
      <c r="Y42" s="32">
        <f t="shared" si="83"/>
        <v>0</v>
      </c>
      <c r="Z42" s="409">
        <f t="shared" si="84"/>
        <v>0</v>
      </c>
      <c r="AA42" s="171">
        <f t="shared" si="96"/>
        <v>0</v>
      </c>
      <c r="AB42" s="1717"/>
      <c r="AC42" s="1718"/>
      <c r="AD42" s="48">
        <f t="shared" si="85"/>
        <v>10</v>
      </c>
      <c r="AE42" s="29">
        <f t="shared" si="97"/>
        <v>360</v>
      </c>
      <c r="AF42" s="31">
        <f t="shared" si="86"/>
        <v>0</v>
      </c>
      <c r="AG42" s="1729"/>
      <c r="AH42" s="840"/>
      <c r="AI42" s="25">
        <f t="shared" si="87"/>
        <v>0</v>
      </c>
      <c r="AJ42" s="24">
        <f aca="true" t="shared" si="98" ref="AJ42:AJ73">IF(AI42=0,0,+AI42/0.0000115741-W42)</f>
        <v>0</v>
      </c>
      <c r="AK42" s="379">
        <f t="shared" si="15"/>
        <v>0</v>
      </c>
      <c r="AL42" s="380">
        <f t="shared" si="88"/>
        <v>0</v>
      </c>
      <c r="AM42" s="381" t="e">
        <f aca="true" t="shared" si="99" ref="AM42:AM73">AJ42/W42*Q42*2025</f>
        <v>#DIV/0!</v>
      </c>
      <c r="AN42" s="452"/>
      <c r="AO42" s="474">
        <f t="shared" si="89"/>
        <v>0</v>
      </c>
      <c r="AP42" s="473">
        <f t="shared" si="90"/>
        <v>0</v>
      </c>
      <c r="AQ42" s="473">
        <f t="shared" si="91"/>
        <v>0</v>
      </c>
      <c r="AR42" s="474">
        <f t="shared" si="92"/>
        <v>0</v>
      </c>
      <c r="AS42" s="474">
        <f t="shared" si="93"/>
        <v>0</v>
      </c>
      <c r="AT42" s="475"/>
      <c r="AU42" s="431">
        <f t="shared" si="94"/>
        <v>0</v>
      </c>
      <c r="AV42" s="250"/>
      <c r="AW42" s="251"/>
      <c r="AX42" s="271"/>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W42" s="268"/>
      <c r="BX42" s="268"/>
      <c r="BY42" s="268"/>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c r="DD42" s="268"/>
      <c r="DE42" s="268"/>
      <c r="DF42" s="268"/>
      <c r="DG42" s="268"/>
      <c r="DH42" s="268"/>
      <c r="DI42" s="268"/>
      <c r="DJ42" s="268"/>
      <c r="DK42" s="268"/>
      <c r="DL42" s="268"/>
      <c r="DM42" s="268"/>
      <c r="DN42" s="268"/>
      <c r="DO42" s="268"/>
      <c r="DP42" s="268"/>
      <c r="DQ42" s="268"/>
      <c r="DR42" s="268"/>
      <c r="DS42" s="268"/>
      <c r="DT42" s="268"/>
      <c r="DU42" s="268"/>
      <c r="DV42" s="268"/>
      <c r="DW42" s="268"/>
      <c r="DX42" s="268"/>
      <c r="DY42" s="268"/>
      <c r="DZ42" s="268"/>
      <c r="EA42" s="268"/>
      <c r="EB42" s="268"/>
      <c r="EC42" s="268"/>
      <c r="ED42" s="268"/>
      <c r="EE42" s="268"/>
      <c r="EF42" s="268"/>
      <c r="EG42" s="268"/>
      <c r="EH42" s="268"/>
      <c r="EI42" s="268"/>
    </row>
    <row r="43" spans="1:139" s="432" customFormat="1" ht="12.75">
      <c r="A43" s="1018" t="s">
        <v>78</v>
      </c>
      <c r="B43" s="1014"/>
      <c r="C43" s="1015"/>
      <c r="D43" s="1017"/>
      <c r="E43" s="805">
        <f t="shared" si="74"/>
      </c>
      <c r="F43" s="1682"/>
      <c r="G43" s="1683"/>
      <c r="H43" s="1684"/>
      <c r="I43" s="1679"/>
      <c r="J43" s="1688"/>
      <c r="K43" s="1667"/>
      <c r="L43" s="800">
        <f t="shared" si="13"/>
      </c>
      <c r="M43" s="1010"/>
      <c r="N43" s="707">
        <f t="shared" si="75"/>
        <v>0</v>
      </c>
      <c r="O43" s="710">
        <f t="shared" si="76"/>
        <v>0</v>
      </c>
      <c r="P43" s="799">
        <f t="shared" si="19"/>
        <v>0</v>
      </c>
      <c r="Q43" s="1008"/>
      <c r="R43" s="802">
        <f t="shared" si="77"/>
        <v>10</v>
      </c>
      <c r="S43" s="97">
        <f t="shared" si="78"/>
        <v>0</v>
      </c>
      <c r="T43" s="765">
        <f t="shared" si="79"/>
        <v>0</v>
      </c>
      <c r="U43" s="467">
        <f t="shared" si="80"/>
        <v>0</v>
      </c>
      <c r="V43" s="31">
        <f t="shared" si="95"/>
        <v>0</v>
      </c>
      <c r="W43" s="105">
        <f t="shared" si="81"/>
        <v>0</v>
      </c>
      <c r="X43" s="23">
        <f t="shared" si="82"/>
        <v>0</v>
      </c>
      <c r="Y43" s="32">
        <f t="shared" si="83"/>
        <v>0</v>
      </c>
      <c r="Z43" s="409">
        <f t="shared" si="84"/>
        <v>0</v>
      </c>
      <c r="AA43" s="171">
        <f t="shared" si="96"/>
        <v>0</v>
      </c>
      <c r="AB43" s="1717"/>
      <c r="AC43" s="1718"/>
      <c r="AD43" s="48">
        <f t="shared" si="85"/>
        <v>10</v>
      </c>
      <c r="AE43" s="29">
        <f t="shared" si="97"/>
        <v>360</v>
      </c>
      <c r="AF43" s="31">
        <f t="shared" si="86"/>
        <v>0</v>
      </c>
      <c r="AG43" s="1728"/>
      <c r="AH43" s="836"/>
      <c r="AI43" s="25">
        <f t="shared" si="87"/>
        <v>0</v>
      </c>
      <c r="AJ43" s="24">
        <f t="shared" si="98"/>
        <v>0</v>
      </c>
      <c r="AK43" s="379">
        <f t="shared" si="15"/>
        <v>0</v>
      </c>
      <c r="AL43" s="380">
        <f t="shared" si="88"/>
        <v>0</v>
      </c>
      <c r="AM43" s="381" t="e">
        <f t="shared" si="99"/>
        <v>#DIV/0!</v>
      </c>
      <c r="AN43" s="452"/>
      <c r="AO43" s="474">
        <f t="shared" si="89"/>
        <v>0</v>
      </c>
      <c r="AP43" s="473">
        <f t="shared" si="90"/>
        <v>0</v>
      </c>
      <c r="AQ43" s="473">
        <f t="shared" si="91"/>
        <v>0</v>
      </c>
      <c r="AR43" s="474">
        <f t="shared" si="92"/>
        <v>0</v>
      </c>
      <c r="AS43" s="474">
        <f t="shared" si="93"/>
        <v>0</v>
      </c>
      <c r="AT43" s="475"/>
      <c r="AU43" s="431">
        <f t="shared" si="94"/>
        <v>0</v>
      </c>
      <c r="AV43" s="250"/>
      <c r="AW43" s="251"/>
      <c r="AX43" s="271"/>
      <c r="AY43" s="268"/>
      <c r="AZ43" s="268"/>
      <c r="BA43" s="268"/>
      <c r="BB43" s="268"/>
      <c r="BC43" s="268"/>
      <c r="BD43" s="268"/>
      <c r="BE43" s="268"/>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268"/>
      <c r="CG43" s="268"/>
      <c r="CH43" s="268"/>
      <c r="CI43" s="268"/>
      <c r="CJ43" s="268"/>
      <c r="CK43" s="268"/>
      <c r="CL43" s="268"/>
      <c r="CM43" s="268"/>
      <c r="CN43" s="268"/>
      <c r="CO43" s="268"/>
      <c r="CP43" s="268"/>
      <c r="CQ43" s="268"/>
      <c r="CR43" s="268"/>
      <c r="CS43" s="268"/>
      <c r="CT43" s="268"/>
      <c r="CU43" s="268"/>
      <c r="CV43" s="268"/>
      <c r="CW43" s="268"/>
      <c r="CX43" s="268"/>
      <c r="CY43" s="268"/>
      <c r="CZ43" s="268"/>
      <c r="DA43" s="268"/>
      <c r="DB43" s="268"/>
      <c r="DC43" s="268"/>
      <c r="DD43" s="268"/>
      <c r="DE43" s="268"/>
      <c r="DF43" s="268"/>
      <c r="DG43" s="268"/>
      <c r="DH43" s="268"/>
      <c r="DI43" s="268"/>
      <c r="DJ43" s="268"/>
      <c r="DK43" s="268"/>
      <c r="DL43" s="268"/>
      <c r="DM43" s="268"/>
      <c r="DN43" s="268"/>
      <c r="DO43" s="268"/>
      <c r="DP43" s="268"/>
      <c r="DQ43" s="268"/>
      <c r="DR43" s="268"/>
      <c r="DS43" s="268"/>
      <c r="DT43" s="268"/>
      <c r="DU43" s="268"/>
      <c r="DV43" s="268"/>
      <c r="DW43" s="268"/>
      <c r="DX43" s="268"/>
      <c r="DY43" s="268"/>
      <c r="DZ43" s="268"/>
      <c r="EA43" s="268"/>
      <c r="EB43" s="268"/>
      <c r="EC43" s="268"/>
      <c r="ED43" s="268"/>
      <c r="EE43" s="268"/>
      <c r="EF43" s="268"/>
      <c r="EG43" s="268"/>
      <c r="EH43" s="268"/>
      <c r="EI43" s="268"/>
    </row>
    <row r="44" spans="1:139" s="249" customFormat="1" ht="12.75">
      <c r="A44" s="1020" t="s">
        <v>78</v>
      </c>
      <c r="B44" s="1014"/>
      <c r="C44" s="1015"/>
      <c r="D44" s="1017"/>
      <c r="E44" s="805">
        <f t="shared" si="74"/>
      </c>
      <c r="F44" s="1682"/>
      <c r="G44" s="1683"/>
      <c r="H44" s="1684"/>
      <c r="I44" s="1679"/>
      <c r="J44" s="1688"/>
      <c r="K44" s="1667"/>
      <c r="L44" s="800">
        <f t="shared" si="13"/>
      </c>
      <c r="M44" s="1010"/>
      <c r="N44" s="707">
        <f t="shared" si="75"/>
        <v>0</v>
      </c>
      <c r="O44" s="710">
        <f t="shared" si="76"/>
        <v>0</v>
      </c>
      <c r="P44" s="799">
        <f t="shared" si="19"/>
        <v>0</v>
      </c>
      <c r="Q44" s="1008"/>
      <c r="R44" s="802">
        <f t="shared" si="77"/>
        <v>10</v>
      </c>
      <c r="S44" s="97">
        <f t="shared" si="78"/>
        <v>0</v>
      </c>
      <c r="T44" s="765">
        <f t="shared" si="79"/>
        <v>0</v>
      </c>
      <c r="U44" s="467">
        <f t="shared" si="80"/>
        <v>0</v>
      </c>
      <c r="V44" s="31">
        <f t="shared" si="95"/>
        <v>0</v>
      </c>
      <c r="W44" s="105">
        <f t="shared" si="81"/>
        <v>0</v>
      </c>
      <c r="X44" s="23">
        <f t="shared" si="82"/>
        <v>0</v>
      </c>
      <c r="Y44" s="32">
        <f t="shared" si="83"/>
        <v>0</v>
      </c>
      <c r="Z44" s="409">
        <f t="shared" si="84"/>
        <v>0</v>
      </c>
      <c r="AA44" s="171">
        <f t="shared" si="96"/>
        <v>0</v>
      </c>
      <c r="AB44" s="1719"/>
      <c r="AC44" s="1720"/>
      <c r="AD44" s="48">
        <f t="shared" si="85"/>
        <v>10</v>
      </c>
      <c r="AE44" s="29">
        <f t="shared" si="97"/>
        <v>360</v>
      </c>
      <c r="AF44" s="31">
        <f t="shared" si="86"/>
        <v>0</v>
      </c>
      <c r="AG44" s="1728"/>
      <c r="AH44" s="836"/>
      <c r="AI44" s="25">
        <f t="shared" si="87"/>
        <v>0</v>
      </c>
      <c r="AJ44" s="24">
        <f t="shared" si="98"/>
        <v>0</v>
      </c>
      <c r="AK44" s="379">
        <f t="shared" si="15"/>
        <v>0</v>
      </c>
      <c r="AL44" s="380">
        <f t="shared" si="88"/>
        <v>0</v>
      </c>
      <c r="AM44" s="381" t="e">
        <f t="shared" si="99"/>
        <v>#DIV/0!</v>
      </c>
      <c r="AN44" s="452"/>
      <c r="AO44" s="474">
        <f t="shared" si="89"/>
        <v>0</v>
      </c>
      <c r="AP44" s="473">
        <f t="shared" si="90"/>
        <v>0</v>
      </c>
      <c r="AQ44" s="473">
        <f t="shared" si="91"/>
        <v>0</v>
      </c>
      <c r="AR44" s="474">
        <f t="shared" si="92"/>
        <v>0</v>
      </c>
      <c r="AS44" s="474">
        <f t="shared" si="93"/>
        <v>0</v>
      </c>
      <c r="AT44" s="475"/>
      <c r="AU44" s="431">
        <f t="shared" si="94"/>
        <v>0</v>
      </c>
      <c r="AV44" s="250"/>
      <c r="AW44" s="251"/>
      <c r="AX44" s="271"/>
      <c r="AY44" s="268"/>
      <c r="AZ44" s="268"/>
      <c r="BA44" s="268"/>
      <c r="BB44" s="268"/>
      <c r="BC44" s="268"/>
      <c r="BD44" s="268"/>
      <c r="BE44" s="268"/>
      <c r="BF44" s="268"/>
      <c r="BG44" s="268"/>
      <c r="BH44" s="268"/>
      <c r="BI44" s="268"/>
      <c r="BJ44" s="268"/>
      <c r="BK44" s="268"/>
      <c r="BL44" s="268"/>
      <c r="BM44" s="268"/>
      <c r="BN44" s="268"/>
      <c r="BO44" s="268"/>
      <c r="BP44" s="268"/>
      <c r="BQ44" s="268"/>
      <c r="BR44" s="268"/>
      <c r="BS44" s="268"/>
      <c r="BT44" s="268"/>
      <c r="BU44" s="268"/>
      <c r="BV44" s="268"/>
      <c r="BW44" s="268"/>
      <c r="BX44" s="268"/>
      <c r="BY44" s="268"/>
      <c r="BZ44" s="268"/>
      <c r="CA44" s="268"/>
      <c r="CB44" s="268"/>
      <c r="CC44" s="268"/>
      <c r="CD44" s="268"/>
      <c r="CE44" s="268"/>
      <c r="CF44" s="268"/>
      <c r="CG44" s="268"/>
      <c r="CH44" s="268"/>
      <c r="CI44" s="268"/>
      <c r="CJ44" s="268"/>
      <c r="CK44" s="268"/>
      <c r="CL44" s="268"/>
      <c r="CM44" s="268"/>
      <c r="CN44" s="268"/>
      <c r="CO44" s="268"/>
      <c r="CP44" s="268"/>
      <c r="CQ44" s="268"/>
      <c r="CR44" s="268"/>
      <c r="CS44" s="268"/>
      <c r="CT44" s="268"/>
      <c r="CU44" s="268"/>
      <c r="CV44" s="268"/>
      <c r="CW44" s="268"/>
      <c r="CX44" s="268"/>
      <c r="CY44" s="268"/>
      <c r="CZ44" s="268"/>
      <c r="DA44" s="268"/>
      <c r="DB44" s="268"/>
      <c r="DC44" s="268"/>
      <c r="DD44" s="268"/>
      <c r="DE44" s="268"/>
      <c r="DF44" s="268"/>
      <c r="DG44" s="268"/>
      <c r="DH44" s="268"/>
      <c r="DI44" s="268"/>
      <c r="DJ44" s="268"/>
      <c r="DK44" s="268"/>
      <c r="DL44" s="268"/>
      <c r="DM44" s="268"/>
      <c r="DN44" s="268"/>
      <c r="DO44" s="268"/>
      <c r="DP44" s="268"/>
      <c r="DQ44" s="268"/>
      <c r="DR44" s="268"/>
      <c r="DS44" s="268"/>
      <c r="DT44" s="268"/>
      <c r="DU44" s="268"/>
      <c r="DV44" s="268"/>
      <c r="DW44" s="268"/>
      <c r="DX44" s="268"/>
      <c r="DY44" s="268"/>
      <c r="DZ44" s="268"/>
      <c r="EA44" s="268"/>
      <c r="EB44" s="268"/>
      <c r="EC44" s="268"/>
      <c r="ED44" s="268"/>
      <c r="EE44" s="268"/>
      <c r="EF44" s="268"/>
      <c r="EG44" s="268"/>
      <c r="EH44" s="268"/>
      <c r="EI44" s="268"/>
    </row>
    <row r="45" spans="1:50" s="734" customFormat="1" ht="12.75">
      <c r="A45" s="266">
        <v>4</v>
      </c>
      <c r="B45" s="963">
        <f>IF($B37="","",IF($B38="",B37,IF($B39="",B38,IF($B40="",B39,IF($B41="",B40,IF($B42="",B41,IF($B43="",B42,IF($B44="",B43,B44))))))))</f>
        <v>14</v>
      </c>
      <c r="C45" s="963"/>
      <c r="D45" s="964" t="str">
        <f>IF($B37="","",IF($B38="",D37,IF($B39="",D38,IF($B40="",D39,IF($B41="",D40,IF($B42="",D41,IF($B43="",D42,IF($B44="",D43,D44))))))))</f>
        <v>CP-4 Dalco Pt house west end</v>
      </c>
      <c r="E45" s="627"/>
      <c r="F45" s="544">
        <f>IF($B37="","",IF($B38="",F37,IF($B39="",F38,IF($B40="",F39,IF($B41="",F40,IF($B42="",F41,IF($B43="",F42,IF($B44="",F43,F44))))))))</f>
        <v>0</v>
      </c>
      <c r="G45" s="545">
        <f>IF($B37="","",IF($B38="",G37,IF($B39="",G38,IF($B40="",G39,IF($B41="",G40,IF($B42="",G41,IF($B43="",G42,IF($B44="",G43,G44))))))))</f>
        <v>0</v>
      </c>
      <c r="H45" s="546"/>
      <c r="I45" s="503">
        <f>IF($B37="","",IF($B38="",I37,IF($B39="",I38,IF($B40="",I39,IF($B41="",I40,IF($B42="",I41,IF($B43="",I42,IF($B44="",I43,I44))))))))</f>
        <v>0</v>
      </c>
      <c r="J45" s="540">
        <f>IF($B37="","",IF($B38="",J37,IF($B39="",J38,IF($B40="",J39,IF($B41="",J40,IF($B42="",J41,IF($B43="",J42,IF($B44="",J43,J44))))))))</f>
        <v>0</v>
      </c>
      <c r="K45" s="739"/>
      <c r="L45" s="801"/>
      <c r="M45" s="708"/>
      <c r="N45" s="709">
        <f>IF($B37="","",IF($B38="",N37,IF($B39="",N38,IF($B40="",N39,IF($B41="",N40,IF($B42="",N41,IF($B43="",N42,IF($B44="",N43,N44))))))))</f>
        <v>116</v>
      </c>
      <c r="O45" s="767"/>
      <c r="P45" s="965"/>
      <c r="Q45" s="962">
        <f>SUM(Q37:Q44)</f>
        <v>4.185046</v>
      </c>
      <c r="R45" s="803">
        <f>Q45*3600/S45</f>
        <v>9.997455607166556</v>
      </c>
      <c r="S45" s="207">
        <f>SUM(S37:S44)</f>
        <v>1507</v>
      </c>
      <c r="T45" s="469">
        <f>SUM(T37:T44)</f>
        <v>6</v>
      </c>
      <c r="U45" s="469">
        <f>SUM(U37:U44)</f>
        <v>0</v>
      </c>
      <c r="V45" s="252" t="str">
        <f>IF($B37="","",IF($B38="",$A37,IF($B39="",$A38,IF($B40="",$A39,IF($B41="",$A40,IF($B42="",$A41,IF($B43="",$A42,IF($B44="",$A43,$A44))))))))</f>
        <v>C</v>
      </c>
      <c r="W45" s="208">
        <f>ROUND(SUM(W37:W44),0)</f>
        <v>1513</v>
      </c>
      <c r="X45" s="257">
        <f t="shared" si="82"/>
        <v>0.0175116133</v>
      </c>
      <c r="Y45" s="258">
        <f>TIMEVALUE(Y36)+TIMEVALUE(X45)</f>
        <v>0.5768633958777777</v>
      </c>
      <c r="Z45" s="410"/>
      <c r="AA45" s="414"/>
      <c r="AB45" s="584"/>
      <c r="AC45" s="585"/>
      <c r="AD45" s="415">
        <f>(AD37*$Q37+AD38*$Q38+AD39*$Q39+AD40*$Q40+AD41*$Q41+AD42*$Q42+AD43*$Q43+AD44*$Q44)/$Q45</f>
        <v>10.000000000000002</v>
      </c>
      <c r="AE45" s="554">
        <f>(AE37*$Q37+AE38*$Q38+AE39*$Q39+AE40*$Q40+AE41*$Q41+AE42*$Q42+AE43*$Q43+AE44*$Q44)/$Q45</f>
        <v>360</v>
      </c>
      <c r="AF45" s="554">
        <f>(AF37*$Q37+AF38*$Q38+AF39*$Q39+AF40*$Q40+AF41*$Q41+AF42*$Q42+AF43*$Q43+AF44*$Q44)/$Q45</f>
        <v>0</v>
      </c>
      <c r="AG45" s="254">
        <f>IF($B37="",0,IF($B38="",AG37,IF($B39="",AG38,IF($B40="",AG39,IF($B41="",AG40,IF($B42="",AG41,IF($B43="",AG42,IF($B44="",AG43,AG44))))))))</f>
        <v>0</v>
      </c>
      <c r="AH45" s="1726"/>
      <c r="AI45" s="136">
        <f>IF(TIMEVALUE(AG45)=0,0,TIMEVALUE(AG45)-TIMEVALUE(AG36)-TIMEVALUE(AH45))</f>
        <v>0</v>
      </c>
      <c r="AJ45" s="140">
        <f t="shared" si="98"/>
        <v>0</v>
      </c>
      <c r="AK45" s="415">
        <f>(AK37*$Q37+AK38*$Q38+AK39*$Q39+AK40*$Q40+AK41*$Q41+AK42*$Q42+AK43*$Q43+AK44*$Q44)/$Q45</f>
        <v>0</v>
      </c>
      <c r="AL45" s="415">
        <f>(AL37*$Q37+AL38*$Q38+AL39*$Q39+AL40*$Q40+AL41*$Q41+AL42*$Q42+AL43*$Q43+AL44*$Q44)/$Q45</f>
        <v>0</v>
      </c>
      <c r="AM45" s="382">
        <f t="shared" si="99"/>
        <v>0</v>
      </c>
      <c r="AN45" s="453"/>
      <c r="AO45" s="481"/>
      <c r="AP45" s="482"/>
      <c r="AQ45" s="482"/>
      <c r="AR45" s="481"/>
      <c r="AS45" s="482"/>
      <c r="AT45" s="482"/>
      <c r="AU45" s="277"/>
      <c r="AV45" s="75"/>
      <c r="AW45" s="57"/>
      <c r="AX45" s="733"/>
    </row>
    <row r="46" spans="1:139" s="249" customFormat="1" ht="12.75" customHeight="1">
      <c r="A46" s="1016" t="s">
        <v>78</v>
      </c>
      <c r="B46" s="1660">
        <v>15</v>
      </c>
      <c r="C46" s="1661">
        <v>3</v>
      </c>
      <c r="D46" s="1665" t="s">
        <v>416</v>
      </c>
      <c r="E46" s="961">
        <f aca="true" t="shared" si="100" ref="E46:E53">IF(C46="","",X46)</f>
        <v>0.003356489</v>
      </c>
      <c r="F46" s="1707"/>
      <c r="G46" s="1698"/>
      <c r="H46" s="1708"/>
      <c r="I46" s="1679"/>
      <c r="J46" s="1680"/>
      <c r="K46" s="1681">
        <v>170.526798</v>
      </c>
      <c r="L46" s="800">
        <f t="shared" si="13"/>
        <v>170.526798</v>
      </c>
      <c r="M46" s="1009"/>
      <c r="N46" s="707">
        <f aca="true" t="shared" si="101" ref="N46:N53">IF(K46=0,0,IF(AU46&gt;360,AU46-360,IF(AU46&lt;0,AU46+360,AU46)))</f>
        <v>171</v>
      </c>
      <c r="O46" s="710">
        <f aca="true" t="shared" si="102" ref="O46:O53">IF(K46=0,0,ABS(IF(ABS(N46-N45)&lt;180.1,ABS(N46-N45),(IF(N46-N45&gt;180,(360+N45-N46),(360+N46-N45))))))</f>
        <v>55</v>
      </c>
      <c r="P46" s="769">
        <f t="shared" si="19"/>
        <v>1.4680927393539054</v>
      </c>
      <c r="Q46" s="1694">
        <v>0.797882</v>
      </c>
      <c r="R46" s="802">
        <f aca="true" t="shared" si="103" ref="R46:R53">IF(A46="SLOW",$J$5,$J$4)</f>
        <v>10</v>
      </c>
      <c r="S46" s="97">
        <f t="shared" si="78"/>
        <v>287</v>
      </c>
      <c r="T46" s="765">
        <f aca="true" t="shared" si="104" ref="T46:T53">IF(K46=0,0,IF(AO46&lt;0,AP46,AQ46))</f>
        <v>3</v>
      </c>
      <c r="U46" s="467">
        <f aca="true" t="shared" si="105" ref="U46:U53">ROUND(AF46*Q46,0)</f>
        <v>0</v>
      </c>
      <c r="V46" s="31">
        <f>IF($B46="",0,IF($A46=$A44,0,IF($A46=V45,0,(IF($A46="SLOW",P$3,P$4)))))</f>
        <v>0</v>
      </c>
      <c r="W46" s="105">
        <f aca="true" t="shared" si="106" ref="W46:W53">ROUND(S46+T46+U46+V46,0)</f>
        <v>290</v>
      </c>
      <c r="X46" s="23">
        <f t="shared" si="82"/>
        <v>0.003356489</v>
      </c>
      <c r="Y46" s="32">
        <f aca="true" t="shared" si="107" ref="Y46:Y53">IF(W46=0,0,TIMEVALUE(Y45)+TIMEVALUE(X46))</f>
        <v>0.5802198848777776</v>
      </c>
      <c r="Z46" s="409">
        <f aca="true" t="shared" si="108" ref="Z46:Z53">IF(Y46=0,0,AVERAGE(Y46,Y45))</f>
        <v>0.5785416403777777</v>
      </c>
      <c r="AA46" s="171">
        <f>B46</f>
        <v>15</v>
      </c>
      <c r="AB46" s="1732"/>
      <c r="AC46" s="1733"/>
      <c r="AD46" s="48">
        <f aca="true" t="shared" si="109" ref="AD46:AD53">(AC46*COS((AB46-K46)/57.29))+SQRT((AC46*COS((AB46-K46)/57.29))*(AC46*COS((AB46-K46)/57.29))-(AC46*AC46)+(R46*R46))</f>
        <v>10</v>
      </c>
      <c r="AE46" s="29">
        <f>3600/AD46</f>
        <v>360</v>
      </c>
      <c r="AF46" s="31">
        <f aca="true" t="shared" si="110" ref="AF46:AF53">AE46-(3600/R46)</f>
        <v>0</v>
      </c>
      <c r="AG46" s="1727"/>
      <c r="AH46" s="836"/>
      <c r="AI46" s="25">
        <f aca="true" t="shared" si="111" ref="AI46:AI53">IF(TIMEVALUE(AG46)=0,0,TIMEVALUE(AG46)-TIMEVALUE(AG45)-TIMEVALUE(AH46))</f>
        <v>0</v>
      </c>
      <c r="AJ46" s="24">
        <f t="shared" si="98"/>
        <v>0</v>
      </c>
      <c r="AK46" s="379">
        <f t="shared" si="15"/>
        <v>0</v>
      </c>
      <c r="AL46" s="384">
        <f aca="true" t="shared" si="112" ref="AL46:AL53">IF(A46="SLOW",AD46-$J$5,AD46-$J$4)</f>
        <v>0</v>
      </c>
      <c r="AM46" s="134">
        <f t="shared" si="99"/>
        <v>0</v>
      </c>
      <c r="AN46" s="452"/>
      <c r="AO46" s="474">
        <f aca="true" t="shared" si="113" ref="AO46:AO53">IF(K46=0,0,IF(ABS(N46-N45)&gt;180,IF(N46&gt;N45,N46-N45-360,N46-N45+360),N46-N45))</f>
        <v>55</v>
      </c>
      <c r="AP46" s="473">
        <f aca="true" t="shared" si="114" ref="AP46:AP53">ROUND(IF(AO46=0,0,(ABS(AO46)*(1/$R$4+0.03333)-(57.3/$R$4)*SIN(ABS(AO46/57.3)))),0)</f>
        <v>3</v>
      </c>
      <c r="AQ46" s="473">
        <f aca="true" t="shared" si="115" ref="AQ46:AQ53">ROUND(IF(AO46=0,0,(ABS(AO46)*(1/$S$4+0.03333)-(57.3/$S$4)*SIN(ABS(AO46/57.3)))),0)</f>
        <v>3</v>
      </c>
      <c r="AR46" s="474">
        <f aca="true" t="shared" si="116" ref="AR46:AR53">IF(K46="",0,((32.3*$R46/$R$4)*(1-COS(ABS(AO46)/57.3))+2.252*$R46*SIN(ABS(AO46)/57.3))/(2025*TAN($Q46/57.3)))</f>
        <v>1.6308822170232584</v>
      </c>
      <c r="AS46" s="474">
        <f aca="true" t="shared" si="117" ref="AS46:AS53">IF(K46="",0,((32.3*$R46/$S$4)*(1-COS(ABS(AO46)/57.3))+2.252*$R46*SIN(ABS(AO46)/57.3))/(2025*TAN($Q46/57.3)))</f>
        <v>1.4680927393539054</v>
      </c>
      <c r="AT46" s="473"/>
      <c r="AU46" s="431">
        <f aca="true" t="shared" si="118" ref="AU46:AU53">ROUND(K46-57.29*ASIN(AC46/R46*SIN((AB46-K46)/57.29))+$R$3+M46,0)</f>
        <v>171</v>
      </c>
      <c r="AV46" s="306">
        <f>IF(K44&lt;&gt;0,K44,IF(K43&lt;&gt;0,K43,IF(K42&lt;&gt;0,K42,IF(K41&lt;&gt;0,K41,IF(K40&lt;&gt;0,K40,IF(K39&lt;&gt;0,K39,IF(K38&lt;&gt;0,K38,K37)))))))</f>
        <v>115.566813</v>
      </c>
      <c r="AW46" s="267"/>
      <c r="AX46" s="356"/>
      <c r="AY46" s="530"/>
      <c r="AZ46" s="268"/>
      <c r="BA46" s="268"/>
      <c r="BB46" s="268"/>
      <c r="BC46" s="268"/>
      <c r="BD46" s="268"/>
      <c r="BE46" s="268"/>
      <c r="BF46" s="268"/>
      <c r="BG46" s="268"/>
      <c r="BH46" s="268"/>
      <c r="BI46" s="268"/>
      <c r="BJ46" s="268"/>
      <c r="BK46" s="268"/>
      <c r="BL46" s="268"/>
      <c r="BM46" s="268"/>
      <c r="BN46" s="268"/>
      <c r="BO46" s="268"/>
      <c r="BP46" s="268"/>
      <c r="BQ46" s="268"/>
      <c r="BR46" s="268"/>
      <c r="BS46" s="268"/>
      <c r="BT46" s="268"/>
      <c r="BU46" s="268"/>
      <c r="BV46" s="268"/>
      <c r="BW46" s="268"/>
      <c r="BX46" s="268"/>
      <c r="BY46" s="268"/>
      <c r="BZ46" s="268"/>
      <c r="CA46" s="268"/>
      <c r="CB46" s="268"/>
      <c r="CC46" s="268"/>
      <c r="CD46" s="268"/>
      <c r="CE46" s="268"/>
      <c r="CF46" s="268"/>
      <c r="CG46" s="268"/>
      <c r="CH46" s="268"/>
      <c r="CI46" s="268"/>
      <c r="CJ46" s="268"/>
      <c r="CK46" s="268"/>
      <c r="CL46" s="268"/>
      <c r="CM46" s="268"/>
      <c r="CN46" s="268"/>
      <c r="CO46" s="268"/>
      <c r="CP46" s="268"/>
      <c r="CQ46" s="268"/>
      <c r="CR46" s="268"/>
      <c r="CS46" s="268"/>
      <c r="CT46" s="268"/>
      <c r="CU46" s="268"/>
      <c r="CV46" s="268"/>
      <c r="CW46" s="268"/>
      <c r="CX46" s="268"/>
      <c r="CY46" s="268"/>
      <c r="CZ46" s="268"/>
      <c r="DA46" s="268"/>
      <c r="DB46" s="268"/>
      <c r="DC46" s="268"/>
      <c r="DD46" s="268"/>
      <c r="DE46" s="268"/>
      <c r="DF46" s="268"/>
      <c r="DG46" s="268"/>
      <c r="DH46" s="268"/>
      <c r="DI46" s="268"/>
      <c r="DJ46" s="268"/>
      <c r="DK46" s="268"/>
      <c r="DL46" s="268"/>
      <c r="DM46" s="268"/>
      <c r="DN46" s="268"/>
      <c r="DO46" s="268"/>
      <c r="DP46" s="268"/>
      <c r="DQ46" s="268"/>
      <c r="DR46" s="268"/>
      <c r="DS46" s="268"/>
      <c r="DT46" s="268"/>
      <c r="DU46" s="268"/>
      <c r="DV46" s="268"/>
      <c r="DW46" s="268"/>
      <c r="DX46" s="268"/>
      <c r="DY46" s="268"/>
      <c r="DZ46" s="268"/>
      <c r="EA46" s="268"/>
      <c r="EB46" s="268"/>
      <c r="EC46" s="268"/>
      <c r="ED46" s="268"/>
      <c r="EE46" s="268"/>
      <c r="EF46" s="268"/>
      <c r="EG46" s="268"/>
      <c r="EH46" s="268"/>
      <c r="EI46" s="268"/>
    </row>
    <row r="47" spans="1:139" s="249" customFormat="1" ht="13.5" customHeight="1">
      <c r="A47" s="1022" t="s">
        <v>78</v>
      </c>
      <c r="B47" s="1660">
        <v>16</v>
      </c>
      <c r="C47" s="1661"/>
      <c r="D47" s="1665" t="s">
        <v>432</v>
      </c>
      <c r="E47" s="961">
        <f t="shared" si="100"/>
      </c>
      <c r="F47" s="1707"/>
      <c r="G47" s="1709"/>
      <c r="H47" s="1708"/>
      <c r="I47" s="1679"/>
      <c r="J47" s="1685"/>
      <c r="K47" s="1681">
        <v>275.006523</v>
      </c>
      <c r="L47" s="800">
        <f t="shared" si="13"/>
        <v>275.006523</v>
      </c>
      <c r="M47" s="1010"/>
      <c r="N47" s="707">
        <f t="shared" si="101"/>
        <v>275</v>
      </c>
      <c r="O47" s="710">
        <f t="shared" si="102"/>
        <v>104</v>
      </c>
      <c r="P47" s="799">
        <f t="shared" si="19"/>
        <v>1.9213996552955783</v>
      </c>
      <c r="Q47" s="1694">
        <v>1.306075</v>
      </c>
      <c r="R47" s="802">
        <f t="shared" si="103"/>
        <v>10</v>
      </c>
      <c r="S47" s="97">
        <f t="shared" si="78"/>
        <v>470</v>
      </c>
      <c r="T47" s="765">
        <f t="shared" si="104"/>
        <v>12</v>
      </c>
      <c r="U47" s="467">
        <f t="shared" si="105"/>
        <v>0</v>
      </c>
      <c r="V47" s="31">
        <f aca="true" t="shared" si="119" ref="V47:V53">IF(B47="",0,IF(A47=A46,0,IF(A47="SLOW",P$3,P$4)))</f>
        <v>0</v>
      </c>
      <c r="W47" s="105">
        <f t="shared" si="106"/>
        <v>482</v>
      </c>
      <c r="X47" s="23">
        <f t="shared" si="82"/>
        <v>0.0055787162</v>
      </c>
      <c r="Y47" s="32">
        <f t="shared" si="107"/>
        <v>0.5857986010777776</v>
      </c>
      <c r="Z47" s="409">
        <f t="shared" si="108"/>
        <v>0.5830092429777776</v>
      </c>
      <c r="AA47" s="171">
        <f>B47</f>
        <v>16</v>
      </c>
      <c r="AB47" s="1734"/>
      <c r="AC47" s="1735"/>
      <c r="AD47" s="48">
        <f t="shared" si="109"/>
        <v>10</v>
      </c>
      <c r="AE47" s="29">
        <f>3600/AD47</f>
        <v>360</v>
      </c>
      <c r="AF47" s="31">
        <f t="shared" si="110"/>
        <v>0</v>
      </c>
      <c r="AG47" s="1727"/>
      <c r="AH47" s="836"/>
      <c r="AI47" s="25">
        <f t="shared" si="111"/>
        <v>0</v>
      </c>
      <c r="AJ47" s="24">
        <f t="shared" si="98"/>
        <v>0</v>
      </c>
      <c r="AK47" s="379">
        <f t="shared" si="15"/>
        <v>0</v>
      </c>
      <c r="AL47" s="384">
        <f t="shared" si="112"/>
        <v>0</v>
      </c>
      <c r="AM47" s="134">
        <f t="shared" si="99"/>
        <v>0</v>
      </c>
      <c r="AN47" s="452"/>
      <c r="AO47" s="474">
        <f t="shared" si="113"/>
        <v>104</v>
      </c>
      <c r="AP47" s="473">
        <f t="shared" si="114"/>
        <v>13</v>
      </c>
      <c r="AQ47" s="473">
        <f t="shared" si="115"/>
        <v>12</v>
      </c>
      <c r="AR47" s="474">
        <f t="shared" si="116"/>
        <v>2.2110115804257213</v>
      </c>
      <c r="AS47" s="474">
        <f t="shared" si="117"/>
        <v>1.9213996552955783</v>
      </c>
      <c r="AT47" s="473"/>
      <c r="AU47" s="431">
        <f t="shared" si="118"/>
        <v>275</v>
      </c>
      <c r="AV47" s="250"/>
      <c r="AW47" s="267"/>
      <c r="AX47" s="271"/>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C47" s="268"/>
      <c r="CD47" s="268"/>
      <c r="CE47" s="268"/>
      <c r="CF47" s="268"/>
      <c r="CG47" s="268"/>
      <c r="CH47" s="268"/>
      <c r="CI47" s="268"/>
      <c r="CJ47" s="268"/>
      <c r="CK47" s="268"/>
      <c r="CL47" s="268"/>
      <c r="CM47" s="268"/>
      <c r="CN47" s="268"/>
      <c r="CO47" s="268"/>
      <c r="CP47" s="268"/>
      <c r="CQ47" s="268"/>
      <c r="CR47" s="268"/>
      <c r="CS47" s="268"/>
      <c r="CT47" s="268"/>
      <c r="CU47" s="268"/>
      <c r="CV47" s="268"/>
      <c r="CW47" s="268"/>
      <c r="CX47" s="268"/>
      <c r="CY47" s="268"/>
      <c r="CZ47" s="268"/>
      <c r="DA47" s="268"/>
      <c r="DB47" s="268"/>
      <c r="DC47" s="268"/>
      <c r="DD47" s="268"/>
      <c r="DE47" s="268"/>
      <c r="DF47" s="268"/>
      <c r="DG47" s="268"/>
      <c r="DH47" s="268"/>
      <c r="DI47" s="268"/>
      <c r="DJ47" s="268"/>
      <c r="DK47" s="268"/>
      <c r="DL47" s="268"/>
      <c r="DM47" s="268"/>
      <c r="DN47" s="268"/>
      <c r="DO47" s="268"/>
      <c r="DP47" s="268"/>
      <c r="DQ47" s="268"/>
      <c r="DR47" s="268"/>
      <c r="DS47" s="268"/>
      <c r="DT47" s="268"/>
      <c r="DU47" s="268"/>
      <c r="DV47" s="268"/>
      <c r="DW47" s="268"/>
      <c r="DX47" s="268"/>
      <c r="DY47" s="268"/>
      <c r="DZ47" s="268"/>
      <c r="EA47" s="268"/>
      <c r="EB47" s="268"/>
      <c r="EC47" s="268"/>
      <c r="ED47" s="268"/>
      <c r="EE47" s="268"/>
      <c r="EF47" s="268"/>
      <c r="EG47" s="268"/>
      <c r="EH47" s="268"/>
      <c r="EI47" s="268"/>
    </row>
    <row r="48" spans="1:139" s="249" customFormat="1" ht="12.75" customHeight="1">
      <c r="A48" s="1016" t="s">
        <v>78</v>
      </c>
      <c r="B48" s="1660">
        <v>17</v>
      </c>
      <c r="C48" s="1661"/>
      <c r="D48" s="1665" t="s">
        <v>433</v>
      </c>
      <c r="E48" s="961">
        <f t="shared" si="100"/>
      </c>
      <c r="F48" s="1707"/>
      <c r="G48" s="1709"/>
      <c r="H48" s="1708"/>
      <c r="I48" s="1679"/>
      <c r="J48" s="1685"/>
      <c r="K48" s="1681">
        <v>283.408148</v>
      </c>
      <c r="L48" s="800">
        <f t="shared" si="13"/>
        <v>283.408148</v>
      </c>
      <c r="M48" s="1010"/>
      <c r="N48" s="707">
        <f t="shared" si="101"/>
        <v>283</v>
      </c>
      <c r="O48" s="710">
        <f t="shared" si="102"/>
        <v>8</v>
      </c>
      <c r="P48" s="799">
        <f t="shared" si="19"/>
        <v>0.0962236503661582</v>
      </c>
      <c r="Q48" s="1694">
        <v>1.075508</v>
      </c>
      <c r="R48" s="802">
        <f t="shared" si="103"/>
        <v>10</v>
      </c>
      <c r="S48" s="97">
        <f t="shared" si="78"/>
        <v>387</v>
      </c>
      <c r="T48" s="765">
        <f t="shared" si="104"/>
        <v>0</v>
      </c>
      <c r="U48" s="467">
        <f t="shared" si="105"/>
        <v>0</v>
      </c>
      <c r="V48" s="31">
        <f t="shared" si="119"/>
        <v>0</v>
      </c>
      <c r="W48" s="105">
        <f t="shared" si="106"/>
        <v>387</v>
      </c>
      <c r="X48" s="23">
        <f t="shared" si="82"/>
        <v>0.0044791767</v>
      </c>
      <c r="Y48" s="32">
        <f t="shared" si="107"/>
        <v>0.5902777777777776</v>
      </c>
      <c r="Z48" s="409">
        <f t="shared" si="108"/>
        <v>0.5880381894277775</v>
      </c>
      <c r="AA48" s="171">
        <f aca="true" t="shared" si="120" ref="AA48:AA53">B48</f>
        <v>17</v>
      </c>
      <c r="AB48" s="1734"/>
      <c r="AC48" s="1735"/>
      <c r="AD48" s="48">
        <f t="shared" si="109"/>
        <v>10</v>
      </c>
      <c r="AE48" s="29">
        <f t="shared" si="97"/>
        <v>360</v>
      </c>
      <c r="AF48" s="31">
        <f t="shared" si="110"/>
        <v>0</v>
      </c>
      <c r="AG48" s="1728"/>
      <c r="AH48" s="836"/>
      <c r="AI48" s="25">
        <f t="shared" si="111"/>
        <v>0</v>
      </c>
      <c r="AJ48" s="24">
        <f t="shared" si="98"/>
        <v>0</v>
      </c>
      <c r="AK48" s="379">
        <f t="shared" si="15"/>
        <v>0</v>
      </c>
      <c r="AL48" s="380">
        <f t="shared" si="112"/>
        <v>0</v>
      </c>
      <c r="AM48" s="134">
        <f t="shared" si="99"/>
        <v>0</v>
      </c>
      <c r="AN48" s="452"/>
      <c r="AO48" s="474">
        <f t="shared" si="113"/>
        <v>8</v>
      </c>
      <c r="AP48" s="473">
        <f t="shared" si="114"/>
        <v>0</v>
      </c>
      <c r="AQ48" s="473">
        <f t="shared" si="115"/>
        <v>0</v>
      </c>
      <c r="AR48" s="474">
        <f t="shared" si="116"/>
        <v>0.09897966404564255</v>
      </c>
      <c r="AS48" s="474">
        <f t="shared" si="117"/>
        <v>0.0962236503661582</v>
      </c>
      <c r="AT48" s="475"/>
      <c r="AU48" s="431">
        <f t="shared" si="118"/>
        <v>283</v>
      </c>
      <c r="AV48" s="250"/>
      <c r="AW48" s="267"/>
      <c r="AX48" s="271"/>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C48" s="268"/>
      <c r="CD48" s="268"/>
      <c r="CE48" s="268"/>
      <c r="CF48" s="268"/>
      <c r="CG48" s="268"/>
      <c r="CH48" s="268"/>
      <c r="CI48" s="268"/>
      <c r="CJ48" s="268"/>
      <c r="CK48" s="268"/>
      <c r="CL48" s="268"/>
      <c r="CM48" s="268"/>
      <c r="CN48" s="268"/>
      <c r="CO48" s="268"/>
      <c r="CP48" s="268"/>
      <c r="CQ48" s="268"/>
      <c r="CR48" s="268"/>
      <c r="CS48" s="268"/>
      <c r="CT48" s="268"/>
      <c r="CU48" s="268"/>
      <c r="CV48" s="268"/>
      <c r="CW48" s="268"/>
      <c r="CX48" s="268"/>
      <c r="CY48" s="268"/>
      <c r="CZ48" s="268"/>
      <c r="DA48" s="268"/>
      <c r="DB48" s="268"/>
      <c r="DC48" s="268"/>
      <c r="DD48" s="268"/>
      <c r="DE48" s="268"/>
      <c r="DF48" s="268"/>
      <c r="DG48" s="268"/>
      <c r="DH48" s="268"/>
      <c r="DI48" s="268"/>
      <c r="DJ48" s="268"/>
      <c r="DK48" s="268"/>
      <c r="DL48" s="268"/>
      <c r="DM48" s="268"/>
      <c r="DN48" s="268"/>
      <c r="DO48" s="268"/>
      <c r="DP48" s="268"/>
      <c r="DQ48" s="268"/>
      <c r="DR48" s="268"/>
      <c r="DS48" s="268"/>
      <c r="DT48" s="268"/>
      <c r="DU48" s="268"/>
      <c r="DV48" s="268"/>
      <c r="DW48" s="268"/>
      <c r="DX48" s="268"/>
      <c r="DY48" s="268"/>
      <c r="DZ48" s="268"/>
      <c r="EA48" s="268"/>
      <c r="EB48" s="268"/>
      <c r="EC48" s="268"/>
      <c r="ED48" s="268"/>
      <c r="EE48" s="268"/>
      <c r="EF48" s="268"/>
      <c r="EG48" s="268"/>
      <c r="EH48" s="268"/>
      <c r="EI48" s="268"/>
    </row>
    <row r="49" spans="1:139" s="249" customFormat="1" ht="12.75" customHeight="1">
      <c r="A49" s="1016" t="s">
        <v>78</v>
      </c>
      <c r="B49" s="1666"/>
      <c r="C49" s="1656"/>
      <c r="D49" s="1667"/>
      <c r="E49" s="805">
        <f t="shared" si="100"/>
      </c>
      <c r="F49" s="1707"/>
      <c r="G49" s="1709"/>
      <c r="H49" s="1708"/>
      <c r="I49" s="1679"/>
      <c r="J49" s="1684"/>
      <c r="K49" s="1667"/>
      <c r="L49" s="800">
        <f t="shared" si="13"/>
      </c>
      <c r="M49" s="1010"/>
      <c r="N49" s="707">
        <f t="shared" si="101"/>
        <v>0</v>
      </c>
      <c r="O49" s="710">
        <f t="shared" si="102"/>
        <v>0</v>
      </c>
      <c r="P49" s="799">
        <f t="shared" si="19"/>
        <v>0</v>
      </c>
      <c r="Q49" s="1695"/>
      <c r="R49" s="802">
        <f t="shared" si="103"/>
        <v>10</v>
      </c>
      <c r="S49" s="97">
        <f>ROUND(Q49*3600/R49,0)</f>
        <v>0</v>
      </c>
      <c r="T49" s="765">
        <f t="shared" si="104"/>
        <v>0</v>
      </c>
      <c r="U49" s="470">
        <f t="shared" si="105"/>
        <v>0</v>
      </c>
      <c r="V49" s="31">
        <f t="shared" si="119"/>
        <v>0</v>
      </c>
      <c r="W49" s="105">
        <f t="shared" si="106"/>
        <v>0</v>
      </c>
      <c r="X49" s="23">
        <f t="shared" si="82"/>
        <v>0</v>
      </c>
      <c r="Y49" s="32">
        <f t="shared" si="107"/>
        <v>0</v>
      </c>
      <c r="Z49" s="409">
        <f t="shared" si="108"/>
        <v>0</v>
      </c>
      <c r="AA49" s="171">
        <f t="shared" si="120"/>
        <v>0</v>
      </c>
      <c r="AB49" s="1734"/>
      <c r="AC49" s="1735"/>
      <c r="AD49" s="48">
        <f t="shared" si="109"/>
        <v>10</v>
      </c>
      <c r="AE49" s="29">
        <f t="shared" si="97"/>
        <v>360</v>
      </c>
      <c r="AF49" s="31">
        <f t="shared" si="110"/>
        <v>0</v>
      </c>
      <c r="AG49" s="1727"/>
      <c r="AH49" s="836"/>
      <c r="AI49" s="25">
        <f t="shared" si="111"/>
        <v>0</v>
      </c>
      <c r="AJ49" s="24">
        <f t="shared" si="98"/>
        <v>0</v>
      </c>
      <c r="AK49" s="379">
        <f t="shared" si="15"/>
        <v>0</v>
      </c>
      <c r="AL49" s="380">
        <f t="shared" si="112"/>
        <v>0</v>
      </c>
      <c r="AM49" s="134" t="e">
        <f t="shared" si="99"/>
        <v>#DIV/0!</v>
      </c>
      <c r="AN49" s="452"/>
      <c r="AO49" s="474">
        <f t="shared" si="113"/>
        <v>0</v>
      </c>
      <c r="AP49" s="473">
        <f t="shared" si="114"/>
        <v>0</v>
      </c>
      <c r="AQ49" s="473">
        <f t="shared" si="115"/>
        <v>0</v>
      </c>
      <c r="AR49" s="474">
        <f t="shared" si="116"/>
        <v>0</v>
      </c>
      <c r="AS49" s="474">
        <f t="shared" si="117"/>
        <v>0</v>
      </c>
      <c r="AT49" s="475"/>
      <c r="AU49" s="246">
        <f t="shared" si="118"/>
        <v>0</v>
      </c>
      <c r="AV49" s="250"/>
      <c r="AW49" s="251"/>
      <c r="AX49" s="271"/>
      <c r="AY49" s="268"/>
      <c r="AZ49" s="268"/>
      <c r="BA49" s="268"/>
      <c r="BB49" s="268"/>
      <c r="BC49" s="268"/>
      <c r="BD49" s="268"/>
      <c r="BE49" s="268"/>
      <c r="BF49" s="268"/>
      <c r="BG49" s="268"/>
      <c r="BH49" s="268"/>
      <c r="BI49" s="268"/>
      <c r="BJ49" s="268"/>
      <c r="BK49" s="268"/>
      <c r="BL49" s="268"/>
      <c r="BM49" s="268"/>
      <c r="BN49" s="268"/>
      <c r="BO49" s="268"/>
      <c r="BP49" s="268"/>
      <c r="BQ49" s="268"/>
      <c r="BR49" s="268"/>
      <c r="BS49" s="268"/>
      <c r="BT49" s="268"/>
      <c r="BU49" s="268"/>
      <c r="BV49" s="268"/>
      <c r="BW49" s="268"/>
      <c r="BX49" s="268"/>
      <c r="BY49" s="268"/>
      <c r="BZ49" s="268"/>
      <c r="CA49" s="268"/>
      <c r="CB49" s="268"/>
      <c r="CC49" s="268"/>
      <c r="CD49" s="268"/>
      <c r="CE49" s="268"/>
      <c r="CF49" s="268"/>
      <c r="CG49" s="268"/>
      <c r="CH49" s="268"/>
      <c r="CI49" s="268"/>
      <c r="CJ49" s="268"/>
      <c r="CK49" s="268"/>
      <c r="CL49" s="268"/>
      <c r="CM49" s="268"/>
      <c r="CN49" s="268"/>
      <c r="CO49" s="268"/>
      <c r="CP49" s="268"/>
      <c r="CQ49" s="268"/>
      <c r="CR49" s="268"/>
      <c r="CS49" s="268"/>
      <c r="CT49" s="268"/>
      <c r="CU49" s="268"/>
      <c r="CV49" s="268"/>
      <c r="CW49" s="268"/>
      <c r="CX49" s="268"/>
      <c r="CY49" s="268"/>
      <c r="CZ49" s="268"/>
      <c r="DA49" s="268"/>
      <c r="DB49" s="268"/>
      <c r="DC49" s="268"/>
      <c r="DD49" s="268"/>
      <c r="DE49" s="268"/>
      <c r="DF49" s="268"/>
      <c r="DG49" s="268"/>
      <c r="DH49" s="268"/>
      <c r="DI49" s="268"/>
      <c r="DJ49" s="268"/>
      <c r="DK49" s="268"/>
      <c r="DL49" s="268"/>
      <c r="DM49" s="268"/>
      <c r="DN49" s="268"/>
      <c r="DO49" s="268"/>
      <c r="DP49" s="268"/>
      <c r="DQ49" s="268"/>
      <c r="DR49" s="268"/>
      <c r="DS49" s="268"/>
      <c r="DT49" s="268"/>
      <c r="DU49" s="268"/>
      <c r="DV49" s="268"/>
      <c r="DW49" s="268"/>
      <c r="DX49" s="268"/>
      <c r="DY49" s="268"/>
      <c r="DZ49" s="268"/>
      <c r="EA49" s="268"/>
      <c r="EB49" s="268"/>
      <c r="EC49" s="268"/>
      <c r="ED49" s="268"/>
      <c r="EE49" s="268"/>
      <c r="EF49" s="268"/>
      <c r="EG49" s="268"/>
      <c r="EH49" s="268"/>
      <c r="EI49" s="268"/>
    </row>
    <row r="50" spans="1:139" ht="12.75" customHeight="1">
      <c r="A50" s="1016" t="s">
        <v>78</v>
      </c>
      <c r="B50" s="1668"/>
      <c r="C50" s="1657"/>
      <c r="D50" s="1667"/>
      <c r="E50" s="805">
        <f t="shared" si="100"/>
      </c>
      <c r="F50" s="1682"/>
      <c r="G50" s="1683"/>
      <c r="H50" s="1688"/>
      <c r="I50" s="1679"/>
      <c r="J50" s="1684"/>
      <c r="K50" s="1667"/>
      <c r="L50" s="800">
        <f t="shared" si="13"/>
      </c>
      <c r="M50" s="1010"/>
      <c r="N50" s="707">
        <f t="shared" si="101"/>
        <v>0</v>
      </c>
      <c r="O50" s="710">
        <f t="shared" si="102"/>
        <v>0</v>
      </c>
      <c r="P50" s="799">
        <f t="shared" si="19"/>
        <v>0</v>
      </c>
      <c r="Q50" s="1695"/>
      <c r="R50" s="802">
        <f t="shared" si="103"/>
        <v>10</v>
      </c>
      <c r="S50" s="97">
        <f t="shared" si="78"/>
        <v>0</v>
      </c>
      <c r="T50" s="765">
        <f t="shared" si="104"/>
        <v>0</v>
      </c>
      <c r="U50" s="467">
        <f t="shared" si="105"/>
        <v>0</v>
      </c>
      <c r="V50" s="31">
        <f t="shared" si="119"/>
        <v>0</v>
      </c>
      <c r="W50" s="105">
        <f t="shared" si="106"/>
        <v>0</v>
      </c>
      <c r="X50" s="23">
        <f t="shared" si="82"/>
        <v>0</v>
      </c>
      <c r="Y50" s="32">
        <f t="shared" si="107"/>
        <v>0</v>
      </c>
      <c r="Z50" s="409">
        <f t="shared" si="108"/>
        <v>0</v>
      </c>
      <c r="AA50" s="171">
        <f t="shared" si="120"/>
        <v>0</v>
      </c>
      <c r="AB50" s="1734"/>
      <c r="AC50" s="1735"/>
      <c r="AD50" s="48">
        <f t="shared" si="109"/>
        <v>10</v>
      </c>
      <c r="AE50" s="29">
        <f t="shared" si="97"/>
        <v>360</v>
      </c>
      <c r="AF50" s="31">
        <f t="shared" si="110"/>
        <v>0</v>
      </c>
      <c r="AG50" s="1727"/>
      <c r="AH50" s="836"/>
      <c r="AI50" s="25">
        <f t="shared" si="111"/>
        <v>0</v>
      </c>
      <c r="AJ50" s="24">
        <f t="shared" si="98"/>
        <v>0</v>
      </c>
      <c r="AK50" s="379">
        <f t="shared" si="15"/>
        <v>0</v>
      </c>
      <c r="AL50" s="380">
        <f t="shared" si="112"/>
        <v>0</v>
      </c>
      <c r="AM50" s="134" t="e">
        <f t="shared" si="99"/>
        <v>#DIV/0!</v>
      </c>
      <c r="AN50" s="62"/>
      <c r="AO50" s="474">
        <f t="shared" si="113"/>
        <v>0</v>
      </c>
      <c r="AP50" s="473">
        <f t="shared" si="114"/>
        <v>0</v>
      </c>
      <c r="AQ50" s="473">
        <f t="shared" si="115"/>
        <v>0</v>
      </c>
      <c r="AR50" s="474">
        <f t="shared" si="116"/>
        <v>0</v>
      </c>
      <c r="AS50" s="474">
        <f t="shared" si="117"/>
        <v>0</v>
      </c>
      <c r="AT50" s="475"/>
      <c r="AU50" s="246">
        <f t="shared" si="118"/>
        <v>0</v>
      </c>
      <c r="AV50" s="70"/>
      <c r="AX50" s="104"/>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row>
    <row r="51" spans="1:139" ht="12.75" customHeight="1">
      <c r="A51" s="1016" t="s">
        <v>78</v>
      </c>
      <c r="B51" s="1668"/>
      <c r="C51" s="1668"/>
      <c r="D51" s="1669"/>
      <c r="E51" s="805">
        <f t="shared" si="100"/>
      </c>
      <c r="F51" s="1682"/>
      <c r="G51" s="1683"/>
      <c r="H51" s="1684"/>
      <c r="I51" s="1679"/>
      <c r="J51" s="1688"/>
      <c r="K51" s="1667"/>
      <c r="L51" s="800">
        <f t="shared" si="13"/>
      </c>
      <c r="M51" s="1010"/>
      <c r="N51" s="707">
        <f t="shared" si="101"/>
        <v>0</v>
      </c>
      <c r="O51" s="710">
        <f t="shared" si="102"/>
        <v>0</v>
      </c>
      <c r="P51" s="799">
        <f t="shared" si="19"/>
        <v>0</v>
      </c>
      <c r="Q51" s="1695"/>
      <c r="R51" s="802">
        <f t="shared" si="103"/>
        <v>10</v>
      </c>
      <c r="S51" s="97">
        <f t="shared" si="78"/>
        <v>0</v>
      </c>
      <c r="T51" s="765">
        <f t="shared" si="104"/>
        <v>0</v>
      </c>
      <c r="U51" s="467">
        <f t="shared" si="105"/>
        <v>0</v>
      </c>
      <c r="V51" s="31">
        <f t="shared" si="119"/>
        <v>0</v>
      </c>
      <c r="W51" s="105">
        <f t="shared" si="106"/>
        <v>0</v>
      </c>
      <c r="X51" s="54">
        <f t="shared" si="82"/>
        <v>0</v>
      </c>
      <c r="Y51" s="32">
        <f t="shared" si="107"/>
        <v>0</v>
      </c>
      <c r="Z51" s="409">
        <f t="shared" si="108"/>
        <v>0</v>
      </c>
      <c r="AA51" s="171">
        <f t="shared" si="120"/>
        <v>0</v>
      </c>
      <c r="AB51" s="1734"/>
      <c r="AC51" s="1735"/>
      <c r="AD51" s="48">
        <f t="shared" si="109"/>
        <v>10</v>
      </c>
      <c r="AE51" s="29">
        <f t="shared" si="97"/>
        <v>360</v>
      </c>
      <c r="AF51" s="31">
        <f t="shared" si="110"/>
        <v>0</v>
      </c>
      <c r="AG51" s="1729"/>
      <c r="AH51" s="840"/>
      <c r="AI51" s="25">
        <f t="shared" si="111"/>
        <v>0</v>
      </c>
      <c r="AJ51" s="24">
        <f t="shared" si="98"/>
        <v>0</v>
      </c>
      <c r="AK51" s="379">
        <f t="shared" si="15"/>
        <v>0</v>
      </c>
      <c r="AL51" s="380">
        <f t="shared" si="112"/>
        <v>0</v>
      </c>
      <c r="AM51" s="381" t="e">
        <f t="shared" si="99"/>
        <v>#DIV/0!</v>
      </c>
      <c r="AN51" s="62"/>
      <c r="AO51" s="474">
        <f t="shared" si="113"/>
        <v>0</v>
      </c>
      <c r="AP51" s="473">
        <f t="shared" si="114"/>
        <v>0</v>
      </c>
      <c r="AQ51" s="473">
        <f t="shared" si="115"/>
        <v>0</v>
      </c>
      <c r="AR51" s="474">
        <f t="shared" si="116"/>
        <v>0</v>
      </c>
      <c r="AS51" s="474">
        <f t="shared" si="117"/>
        <v>0</v>
      </c>
      <c r="AT51" s="475"/>
      <c r="AU51" s="246">
        <f t="shared" si="118"/>
        <v>0</v>
      </c>
      <c r="AV51" s="70"/>
      <c r="AX51" s="104"/>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row>
    <row r="52" spans="1:139" s="52" customFormat="1" ht="12.75" customHeight="1">
      <c r="A52" s="1016" t="s">
        <v>78</v>
      </c>
      <c r="B52" s="1655"/>
      <c r="C52" s="1657"/>
      <c r="D52" s="1654"/>
      <c r="E52" s="805">
        <f t="shared" si="100"/>
      </c>
      <c r="F52" s="1710"/>
      <c r="G52" s="1711"/>
      <c r="H52" s="1685"/>
      <c r="I52" s="1679"/>
      <c r="J52" s="1688"/>
      <c r="K52" s="1667"/>
      <c r="L52" s="800">
        <f t="shared" si="13"/>
      </c>
      <c r="M52" s="1010"/>
      <c r="N52" s="707">
        <f t="shared" si="101"/>
        <v>0</v>
      </c>
      <c r="O52" s="710">
        <f t="shared" si="102"/>
        <v>0</v>
      </c>
      <c r="P52" s="799">
        <f t="shared" si="19"/>
        <v>0</v>
      </c>
      <c r="Q52" s="1695"/>
      <c r="R52" s="802">
        <f t="shared" si="103"/>
        <v>10</v>
      </c>
      <c r="S52" s="97">
        <f t="shared" si="78"/>
        <v>0</v>
      </c>
      <c r="T52" s="765">
        <f t="shared" si="104"/>
        <v>0</v>
      </c>
      <c r="U52" s="467">
        <f t="shared" si="105"/>
        <v>0</v>
      </c>
      <c r="V52" s="31">
        <f t="shared" si="119"/>
        <v>0</v>
      </c>
      <c r="W52" s="105">
        <f t="shared" si="106"/>
        <v>0</v>
      </c>
      <c r="X52" s="23">
        <f t="shared" si="82"/>
        <v>0</v>
      </c>
      <c r="Y52" s="32">
        <f t="shared" si="107"/>
        <v>0</v>
      </c>
      <c r="Z52" s="409">
        <f t="shared" si="108"/>
        <v>0</v>
      </c>
      <c r="AA52" s="171">
        <f t="shared" si="120"/>
        <v>0</v>
      </c>
      <c r="AB52" s="1734"/>
      <c r="AC52" s="1735"/>
      <c r="AD52" s="48">
        <f t="shared" si="109"/>
        <v>10</v>
      </c>
      <c r="AE52" s="29">
        <f t="shared" si="97"/>
        <v>360</v>
      </c>
      <c r="AF52" s="31">
        <f t="shared" si="110"/>
        <v>0</v>
      </c>
      <c r="AG52" s="1728"/>
      <c r="AH52" s="836"/>
      <c r="AI52" s="25">
        <f t="shared" si="111"/>
        <v>0</v>
      </c>
      <c r="AJ52" s="24">
        <f t="shared" si="98"/>
        <v>0</v>
      </c>
      <c r="AK52" s="379">
        <f t="shared" si="15"/>
        <v>0</v>
      </c>
      <c r="AL52" s="380">
        <f t="shared" si="112"/>
        <v>0</v>
      </c>
      <c r="AM52" s="381" t="e">
        <f t="shared" si="99"/>
        <v>#DIV/0!</v>
      </c>
      <c r="AN52" s="62"/>
      <c r="AO52" s="474">
        <f t="shared" si="113"/>
        <v>0</v>
      </c>
      <c r="AP52" s="473">
        <f t="shared" si="114"/>
        <v>0</v>
      </c>
      <c r="AQ52" s="473">
        <f t="shared" si="115"/>
        <v>0</v>
      </c>
      <c r="AR52" s="474">
        <f t="shared" si="116"/>
        <v>0</v>
      </c>
      <c r="AS52" s="474">
        <f t="shared" si="117"/>
        <v>0</v>
      </c>
      <c r="AT52" s="475"/>
      <c r="AU52" s="246">
        <f t="shared" si="118"/>
        <v>0</v>
      </c>
      <c r="AV52" s="70"/>
      <c r="AW52" s="47"/>
      <c r="AX52" s="104"/>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row>
    <row r="53" spans="1:139" s="53" customFormat="1" ht="12.75" customHeight="1">
      <c r="A53" s="1002" t="s">
        <v>78</v>
      </c>
      <c r="B53" s="1655"/>
      <c r="C53" s="1657"/>
      <c r="D53" s="1669"/>
      <c r="E53" s="805">
        <f t="shared" si="100"/>
      </c>
      <c r="F53" s="1682"/>
      <c r="G53" s="1683"/>
      <c r="H53" s="1684"/>
      <c r="I53" s="1679"/>
      <c r="J53" s="1684"/>
      <c r="K53" s="1667"/>
      <c r="L53" s="800">
        <f t="shared" si="13"/>
      </c>
      <c r="M53" s="1010"/>
      <c r="N53" s="707">
        <f t="shared" si="101"/>
        <v>0</v>
      </c>
      <c r="O53" s="710">
        <f t="shared" si="102"/>
        <v>0</v>
      </c>
      <c r="P53" s="799">
        <f t="shared" si="19"/>
        <v>0</v>
      </c>
      <c r="Q53" s="1695"/>
      <c r="R53" s="802">
        <f t="shared" si="103"/>
        <v>10</v>
      </c>
      <c r="S53" s="97">
        <f t="shared" si="78"/>
        <v>0</v>
      </c>
      <c r="T53" s="765">
        <f t="shared" si="104"/>
        <v>0</v>
      </c>
      <c r="U53" s="467">
        <f t="shared" si="105"/>
        <v>0</v>
      </c>
      <c r="V53" s="31">
        <f t="shared" si="119"/>
        <v>0</v>
      </c>
      <c r="W53" s="105">
        <f t="shared" si="106"/>
        <v>0</v>
      </c>
      <c r="X53" s="23">
        <f t="shared" si="82"/>
        <v>0</v>
      </c>
      <c r="Y53" s="32">
        <f t="shared" si="107"/>
        <v>0</v>
      </c>
      <c r="Z53" s="409">
        <f t="shared" si="108"/>
        <v>0</v>
      </c>
      <c r="AA53" s="171">
        <f t="shared" si="120"/>
        <v>0</v>
      </c>
      <c r="AB53" s="1736"/>
      <c r="AC53" s="1737"/>
      <c r="AD53" s="48">
        <f t="shared" si="109"/>
        <v>10</v>
      </c>
      <c r="AE53" s="29">
        <f t="shared" si="97"/>
        <v>360</v>
      </c>
      <c r="AF53" s="31">
        <f t="shared" si="110"/>
        <v>0</v>
      </c>
      <c r="AG53" s="1728"/>
      <c r="AH53" s="836"/>
      <c r="AI53" s="25">
        <f t="shared" si="111"/>
        <v>0</v>
      </c>
      <c r="AJ53" s="24">
        <f t="shared" si="98"/>
        <v>0</v>
      </c>
      <c r="AK53" s="379">
        <f t="shared" si="15"/>
        <v>0</v>
      </c>
      <c r="AL53" s="380">
        <f t="shared" si="112"/>
        <v>0</v>
      </c>
      <c r="AM53" s="381" t="e">
        <f t="shared" si="99"/>
        <v>#DIV/0!</v>
      </c>
      <c r="AN53" s="62"/>
      <c r="AO53" s="474">
        <f t="shared" si="113"/>
        <v>0</v>
      </c>
      <c r="AP53" s="473">
        <f t="shared" si="114"/>
        <v>0</v>
      </c>
      <c r="AQ53" s="473">
        <f t="shared" si="115"/>
        <v>0</v>
      </c>
      <c r="AR53" s="474">
        <f t="shared" si="116"/>
        <v>0</v>
      </c>
      <c r="AS53" s="474">
        <f t="shared" si="117"/>
        <v>0</v>
      </c>
      <c r="AT53" s="475"/>
      <c r="AU53" s="246">
        <f t="shared" si="118"/>
        <v>0</v>
      </c>
      <c r="AV53" s="70"/>
      <c r="AW53" s="47"/>
      <c r="AX53" s="217"/>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c r="DU53" s="211"/>
      <c r="DV53" s="211"/>
      <c r="DW53" s="211"/>
      <c r="DX53" s="211"/>
      <c r="DY53" s="211"/>
      <c r="DZ53" s="211"/>
      <c r="EA53" s="211"/>
      <c r="EB53" s="211"/>
      <c r="EC53" s="211"/>
      <c r="ED53" s="211"/>
      <c r="EE53" s="211"/>
      <c r="EF53" s="211"/>
      <c r="EG53" s="211"/>
      <c r="EH53" s="211"/>
      <c r="EI53" s="211"/>
    </row>
    <row r="54" spans="1:50" s="734" customFormat="1" ht="12.75" customHeight="1">
      <c r="A54" s="266" t="s">
        <v>217</v>
      </c>
      <c r="B54" s="252">
        <f>IF($B46="","",IF($B47="",B46,IF($B48="",B47,IF($B49="",B48,IF($B50="",B49,IF($B51="",B50,IF($B52="",B51,IF($B53="",B52,B53))))))))</f>
        <v>17</v>
      </c>
      <c r="C54" s="253"/>
      <c r="D54" s="270" t="str">
        <f>IF($B46="","",IF($B47="",D46,IF($B48="",D47,IF($B49="",D48,IF($B50="",D49,IF($B51="",D50,IF($B52="",D51,IF($B53="",D52,D53))))))))</f>
        <v>Finish - Beach House E of GH Lighthouse</v>
      </c>
      <c r="E54" s="627"/>
      <c r="F54" s="547">
        <f>IF($B46="","",IF($B47="",F46,IF($B48="",F47,IF($B49="",F48,IF($B50="",F49,IF($B51="",F50,IF($B52="",F51,IF($B53="",F52,F53))))))))</f>
        <v>0</v>
      </c>
      <c r="G54" s="545">
        <f>IF($B46="","",IF($B47="",G46,IF($B48="",G47,IF($B49="",G48,IF($B50="",G49,IF($B51="",G50,IF($B52="",G51,IF($B53="",G52,G53))))))))</f>
        <v>0</v>
      </c>
      <c r="H54" s="540"/>
      <c r="I54" s="503">
        <f>IF($B46="","",IF($B47="",I46,IF($B48="",I47,IF($B49="",I48,IF($B50="",I49,IF($B51="",I50,IF($B52="",I51,IF($B53="",I52,I53))))))))</f>
        <v>0</v>
      </c>
      <c r="J54" s="540">
        <f>IF($B46="","",IF($B47="",J46,IF($B48="",J47,IF($B49="",J48,IF($B50="",J49,IF($B51="",J50,IF($B52="",J51,IF($B53="",J52,J53))))))))</f>
        <v>0</v>
      </c>
      <c r="K54" s="739"/>
      <c r="L54" s="801"/>
      <c r="M54" s="708"/>
      <c r="N54" s="709">
        <f>IF($B46="","",IF($B47="",N46,IF($B48="",N47,IF($B49="",N48,IF($B50="",N49,IF($B51="",N50,IF($B52="",N51,IF($B53="",N52,N53))))))))</f>
        <v>283</v>
      </c>
      <c r="O54" s="767"/>
      <c r="P54" s="799"/>
      <c r="Q54" s="255">
        <f>SUM(Q46:Q53)</f>
        <v>3.1794650000000004</v>
      </c>
      <c r="R54" s="803">
        <f>Q54*3600/S54</f>
        <v>10.005309440559442</v>
      </c>
      <c r="S54" s="207">
        <f>SUM(S46:S53)</f>
        <v>1144</v>
      </c>
      <c r="T54" s="469">
        <f>SUM(T46:T53)</f>
        <v>15</v>
      </c>
      <c r="U54" s="469">
        <f>SUM(U46:U53)</f>
        <v>0</v>
      </c>
      <c r="V54" s="252" t="str">
        <f>IF($B46="","",IF($B47="",$A46,IF($B48="",$A47,IF($B49="",$A48,IF($B50="",$A49,IF($B51="",$A50,IF($B52="",$A51,IF($B53="",$A52,$A53))))))))</f>
        <v>C</v>
      </c>
      <c r="W54" s="208">
        <f>ROUND(SUM(W46:W53),0)</f>
        <v>1159</v>
      </c>
      <c r="X54" s="257">
        <f t="shared" si="82"/>
        <v>0.0134143819</v>
      </c>
      <c r="Y54" s="258">
        <f>TIMEVALUE(Y45)+TIMEVALUE(X54)</f>
        <v>0.5902777777777777</v>
      </c>
      <c r="Z54" s="410"/>
      <c r="AA54" s="414"/>
      <c r="AB54" s="584"/>
      <c r="AC54" s="585"/>
      <c r="AD54" s="415">
        <f>(AD46*$Q46+AD47*$Q47+AD48*$Q48+AD49*$Q49+AD50*$Q50+AD51*$Q51+AD52*$Q52+AD53*$Q53)/$Q54</f>
        <v>9.999999999999998</v>
      </c>
      <c r="AE54" s="554">
        <f>(AE46*$Q46+AE47*$Q47+AE48*$Q48+AE49*$Q49+AE50*$Q50+AE51*$Q51+AE52*$Q52+AE53*$Q53)/$Q54</f>
        <v>359.9999999999999</v>
      </c>
      <c r="AF54" s="554">
        <f>(AF46*$Q46+AF47*$Q47+AF48*$Q48+AF49*$Q49+AF50*$Q50+AF51*$Q51+AF52*$Q52+AF53*$Q53)/$Q54</f>
        <v>0</v>
      </c>
      <c r="AG54" s="254">
        <f>IF($B46="",0,IF($B47="",AG46,IF($B48="",AG47,IF($B49="",AG48,IF($B50="",AG49,IF($B51="",AG50,IF($B52="",AG51,IF($B53="",AG52,AG53))))))))</f>
        <v>0</v>
      </c>
      <c r="AH54" s="1726"/>
      <c r="AI54" s="136">
        <f>IF(TIMEVALUE(AG54)=0,0,TIMEVALUE(AG54)-TIMEVALUE(AG45)-TIMEVALUE(AH54))</f>
        <v>0</v>
      </c>
      <c r="AJ54" s="140">
        <f t="shared" si="98"/>
        <v>0</v>
      </c>
      <c r="AK54" s="415">
        <f>(AK46*$Q46+AK47*$Q47+AK48*$Q48+AK49*$Q49+AK50*$Q50+AK51*$Q51+AK52*$Q52+AK53*$Q53)/$Q54</f>
        <v>0</v>
      </c>
      <c r="AL54" s="415">
        <f>(AL46*$Q46+AL47*$Q47+AL48*$Q48+AL49*$Q49+AL50*$Q50+AL51*$Q51+AL52*$Q52+AL53*$Q53)/$Q54</f>
        <v>0</v>
      </c>
      <c r="AM54" s="382">
        <f t="shared" si="99"/>
        <v>0</v>
      </c>
      <c r="AN54" s="453"/>
      <c r="AO54" s="481"/>
      <c r="AP54" s="482"/>
      <c r="AQ54" s="482"/>
      <c r="AR54" s="481"/>
      <c r="AS54" s="482"/>
      <c r="AT54" s="482"/>
      <c r="AU54" s="277"/>
      <c r="AV54" s="75"/>
      <c r="AW54" s="57"/>
      <c r="AX54" s="733"/>
    </row>
    <row r="55" spans="1:139" s="249" customFormat="1" ht="12.75" customHeight="1">
      <c r="A55" s="1013" t="s">
        <v>78</v>
      </c>
      <c r="B55" s="1655"/>
      <c r="C55" s="1657"/>
      <c r="D55" s="1670"/>
      <c r="E55" s="805">
        <f aca="true" t="shared" si="121" ref="E55:E62">IF(C55="","",X55)</f>
      </c>
      <c r="F55" s="1676"/>
      <c r="G55" s="1698"/>
      <c r="H55" s="1708"/>
      <c r="I55" s="1679"/>
      <c r="J55" s="1685"/>
      <c r="K55" s="1667"/>
      <c r="L55" s="800">
        <f t="shared" si="13"/>
      </c>
      <c r="M55" s="1692"/>
      <c r="N55" s="707">
        <f aca="true" t="shared" si="122" ref="N55:N62">IF(K55=0,0,IF(AU55&gt;360,AU55-360,IF(AU55&lt;0,AU55+360,AU55)))</f>
        <v>0</v>
      </c>
      <c r="O55" s="710">
        <f aca="true" t="shared" si="123" ref="O55:O62">IF(K55=0,0,ABS(IF(ABS(N55-N54)&lt;180.1,ABS(N55-N54),(IF(N55-N54&gt;180,(360+N54-N55),(360+N55-N54))))))</f>
        <v>0</v>
      </c>
      <c r="P55" s="799">
        <f t="shared" si="19"/>
        <v>0</v>
      </c>
      <c r="Q55" s="1695"/>
      <c r="R55" s="802">
        <f aca="true" t="shared" si="124" ref="R55:R62">IF(A55="SLOW",$J$5,$J$4)</f>
        <v>10</v>
      </c>
      <c r="S55" s="97">
        <f t="shared" si="78"/>
        <v>0</v>
      </c>
      <c r="T55" s="765">
        <f aca="true" t="shared" si="125" ref="T55:T62">IF(K55=0,0,IF(AO55&lt;0,AP55,AQ55))</f>
        <v>0</v>
      </c>
      <c r="U55" s="467">
        <f aca="true" t="shared" si="126" ref="U55:U62">ROUND(AF55*Q55,0)</f>
        <v>0</v>
      </c>
      <c r="V55" s="31">
        <f>IF($B55="",0,IF($A55=$A53,0,IF($A55=V54,0,(IF($A55="SLOW",P$3,P$4)))))</f>
        <v>0</v>
      </c>
      <c r="W55" s="105">
        <f aca="true" t="shared" si="127" ref="W55:W62">ROUND(S55+T55+U55+V55,0)</f>
        <v>0</v>
      </c>
      <c r="X55" s="23">
        <f t="shared" si="82"/>
        <v>0</v>
      </c>
      <c r="Y55" s="32">
        <f aca="true" t="shared" si="128" ref="Y55:Y62">IF(W55=0,0,TIMEVALUE(Y54)+TIMEVALUE(X55))</f>
        <v>0</v>
      </c>
      <c r="Z55" s="409">
        <f aca="true" t="shared" si="129" ref="Z55:Z62">IF(Y55=0,0,AVERAGE(Y55,Y54))</f>
        <v>0</v>
      </c>
      <c r="AA55" s="171">
        <f>B55</f>
        <v>0</v>
      </c>
      <c r="AB55" s="1732"/>
      <c r="AC55" s="1733"/>
      <c r="AD55" s="48">
        <f aca="true" t="shared" si="130" ref="AD55:AD62">(AC55*COS((AB55-K55)/57.29))+SQRT((AC55*COS((AB55-K55)/57.29))*(AC55*COS((AB55-K55)/57.29))-(AC55*AC55)+(R55*R55))</f>
        <v>10</v>
      </c>
      <c r="AE55" s="29">
        <f>3600/AD55</f>
        <v>360</v>
      </c>
      <c r="AF55" s="31">
        <f aca="true" t="shared" si="131" ref="AF55:AF62">AE55-(3600/R55)</f>
        <v>0</v>
      </c>
      <c r="AG55" s="1727"/>
      <c r="AH55" s="836"/>
      <c r="AI55" s="25">
        <f aca="true" t="shared" si="132" ref="AI55:AI62">IF(TIMEVALUE(AG55)=0,0,TIMEVALUE(AG55)-TIMEVALUE(AG54)-TIMEVALUE(AH55))</f>
        <v>0</v>
      </c>
      <c r="AJ55" s="24">
        <f t="shared" si="98"/>
        <v>0</v>
      </c>
      <c r="AK55" s="379">
        <f t="shared" si="15"/>
        <v>0</v>
      </c>
      <c r="AL55" s="380">
        <f aca="true" t="shared" si="133" ref="AL55:AL62">IF(A55="SLOW",AD55-$J$5,AD55-$J$4)</f>
        <v>0</v>
      </c>
      <c r="AM55" s="134" t="e">
        <f t="shared" si="99"/>
        <v>#DIV/0!</v>
      </c>
      <c r="AN55" s="452"/>
      <c r="AO55" s="474">
        <f aca="true" t="shared" si="134" ref="AO55:AO62">IF(K55=0,0,IF(ABS(N55-N54)&gt;180,IF(N55&gt;N54,N55-N54-360,N55-N54+360),N55-N54))</f>
        <v>0</v>
      </c>
      <c r="AP55" s="473">
        <f aca="true" t="shared" si="135" ref="AP55:AP62">ROUND(IF(AO55=0,0,(ABS(AO55)*(1/$R$4+0.03333)-(57.3/$R$4)*SIN(ABS(AO55/57.3)))),0)</f>
        <v>0</v>
      </c>
      <c r="AQ55" s="473">
        <f aca="true" t="shared" si="136" ref="AQ55:AQ62">ROUND(IF(AO55=0,0,(ABS(AO55)*(1/$S$4+0.03333)-(57.3/$S$4)*SIN(ABS(AO55/57.3)))),0)</f>
        <v>0</v>
      </c>
      <c r="AR55" s="474">
        <f aca="true" t="shared" si="137" ref="AR55:AR62">IF(K55="",0,((32.3*$R55/$R$4)*(1-COS(ABS(AO55)/57.3))+2.252*$R55*SIN(ABS(AO55)/57.3))/(2025*TAN($Q55/57.3)))</f>
        <v>0</v>
      </c>
      <c r="AS55" s="474">
        <f aca="true" t="shared" si="138" ref="AS55:AS62">IF(K55="",0,((32.3*$R55/$S$4)*(1-COS(ABS(AO55)/57.3))+2.252*$R55*SIN(ABS(AO55)/57.3))/(2025*TAN($Q55/57.3)))</f>
        <v>0</v>
      </c>
      <c r="AT55" s="475"/>
      <c r="AU55" s="431">
        <f aca="true" t="shared" si="139" ref="AU55:AU62">ROUND(K55-57.29*ASIN(AC55/R55*SIN((AB55-K55)/57.29))+$R$3+M55,0)</f>
        <v>0</v>
      </c>
      <c r="AV55" s="306">
        <f>IF(K53&lt;&gt;0,K53,IF(K52&lt;&gt;0,K52,IF(K51&lt;&gt;0,K51,IF(K50&lt;&gt;0,K50,IF(K49&lt;&gt;0,K49,IF(K48&lt;&gt;0,K48,IF(K47&lt;&gt;0,K47,K46)))))))</f>
        <v>283.408148</v>
      </c>
      <c r="AW55" s="267"/>
      <c r="AX55" s="356"/>
      <c r="AY55" s="530"/>
      <c r="AZ55" s="268"/>
      <c r="BA55" s="268"/>
      <c r="BB55" s="268"/>
      <c r="BC55" s="268"/>
      <c r="BD55" s="268"/>
      <c r="BE55" s="268"/>
      <c r="BF55" s="268"/>
      <c r="BG55" s="268"/>
      <c r="BH55" s="268"/>
      <c r="BI55" s="268"/>
      <c r="BJ55" s="268"/>
      <c r="BK55" s="268"/>
      <c r="BL55" s="268"/>
      <c r="BM55" s="268"/>
      <c r="BN55" s="268"/>
      <c r="BO55" s="268"/>
      <c r="BP55" s="268"/>
      <c r="BQ55" s="268"/>
      <c r="BR55" s="268"/>
      <c r="BS55" s="268"/>
      <c r="BT55" s="268"/>
      <c r="BU55" s="268"/>
      <c r="BV55" s="268"/>
      <c r="BW55" s="268"/>
      <c r="BX55" s="268"/>
      <c r="BY55" s="268"/>
      <c r="BZ55" s="268"/>
      <c r="CA55" s="268"/>
      <c r="CB55" s="268"/>
      <c r="CC55" s="268"/>
      <c r="CD55" s="268"/>
      <c r="CE55" s="268"/>
      <c r="CF55" s="268"/>
      <c r="CG55" s="268"/>
      <c r="CH55" s="268"/>
      <c r="CI55" s="268"/>
      <c r="CJ55" s="268"/>
      <c r="CK55" s="268"/>
      <c r="CL55" s="268"/>
      <c r="CM55" s="268"/>
      <c r="CN55" s="268"/>
      <c r="CO55" s="268"/>
      <c r="CP55" s="268"/>
      <c r="CQ55" s="268"/>
      <c r="CR55" s="268"/>
      <c r="CS55" s="268"/>
      <c r="CT55" s="268"/>
      <c r="CU55" s="268"/>
      <c r="CV55" s="268"/>
      <c r="CW55" s="268"/>
      <c r="CX55" s="268"/>
      <c r="CY55" s="268"/>
      <c r="CZ55" s="268"/>
      <c r="DA55" s="268"/>
      <c r="DB55" s="268"/>
      <c r="DC55" s="268"/>
      <c r="DD55" s="268"/>
      <c r="DE55" s="268"/>
      <c r="DF55" s="268"/>
      <c r="DG55" s="268"/>
      <c r="DH55" s="268"/>
      <c r="DI55" s="268"/>
      <c r="DJ55" s="268"/>
      <c r="DK55" s="268"/>
      <c r="DL55" s="268"/>
      <c r="DM55" s="268"/>
      <c r="DN55" s="268"/>
      <c r="DO55" s="268"/>
      <c r="DP55" s="268"/>
      <c r="DQ55" s="268"/>
      <c r="DR55" s="268"/>
      <c r="DS55" s="268"/>
      <c r="DT55" s="268"/>
      <c r="DU55" s="268"/>
      <c r="DV55" s="268"/>
      <c r="DW55" s="268"/>
      <c r="DX55" s="268"/>
      <c r="DY55" s="268"/>
      <c r="DZ55" s="268"/>
      <c r="EA55" s="268"/>
      <c r="EB55" s="268"/>
      <c r="EC55" s="268"/>
      <c r="ED55" s="268"/>
      <c r="EE55" s="268"/>
      <c r="EF55" s="268"/>
      <c r="EG55" s="268"/>
      <c r="EH55" s="268"/>
      <c r="EI55" s="268"/>
    </row>
    <row r="56" spans="1:139" s="249" customFormat="1" ht="12.75" customHeight="1">
      <c r="A56" s="1018" t="s">
        <v>78</v>
      </c>
      <c r="B56" s="1655"/>
      <c r="C56" s="1657"/>
      <c r="D56" s="1671"/>
      <c r="E56" s="805">
        <f t="shared" si="121"/>
      </c>
      <c r="F56" s="1707"/>
      <c r="G56" s="1698"/>
      <c r="H56" s="1708"/>
      <c r="I56" s="1679"/>
      <c r="J56" s="1685"/>
      <c r="K56" s="1667"/>
      <c r="L56" s="800">
        <f t="shared" si="13"/>
      </c>
      <c r="M56" s="1693"/>
      <c r="N56" s="707">
        <f t="shared" si="122"/>
        <v>0</v>
      </c>
      <c r="O56" s="710">
        <f t="shared" si="123"/>
        <v>0</v>
      </c>
      <c r="P56" s="799">
        <f t="shared" si="19"/>
        <v>0</v>
      </c>
      <c r="Q56" s="1695"/>
      <c r="R56" s="802">
        <f t="shared" si="124"/>
        <v>10</v>
      </c>
      <c r="S56" s="97">
        <f t="shared" si="78"/>
        <v>0</v>
      </c>
      <c r="T56" s="765">
        <f t="shared" si="125"/>
        <v>0</v>
      </c>
      <c r="U56" s="467">
        <f t="shared" si="126"/>
        <v>0</v>
      </c>
      <c r="V56" s="31">
        <f aca="true" t="shared" si="140" ref="V56:V62">IF(B56="",0,IF(A56=A55,0,IF(A56="SLOW",P$3,P$4)))</f>
        <v>0</v>
      </c>
      <c r="W56" s="105">
        <f t="shared" si="127"/>
        <v>0</v>
      </c>
      <c r="X56" s="23">
        <f t="shared" si="82"/>
        <v>0</v>
      </c>
      <c r="Y56" s="32">
        <f t="shared" si="128"/>
        <v>0</v>
      </c>
      <c r="Z56" s="409">
        <f t="shared" si="129"/>
        <v>0</v>
      </c>
      <c r="AA56" s="171">
        <f>B56</f>
        <v>0</v>
      </c>
      <c r="AB56" s="1734"/>
      <c r="AC56" s="1735"/>
      <c r="AD56" s="48">
        <f t="shared" si="130"/>
        <v>10</v>
      </c>
      <c r="AE56" s="29">
        <f>3600/AD56</f>
        <v>360</v>
      </c>
      <c r="AF56" s="31">
        <f t="shared" si="131"/>
        <v>0</v>
      </c>
      <c r="AG56" s="1727"/>
      <c r="AH56" s="836"/>
      <c r="AI56" s="25">
        <f t="shared" si="132"/>
        <v>0</v>
      </c>
      <c r="AJ56" s="24">
        <f t="shared" si="98"/>
        <v>0</v>
      </c>
      <c r="AK56" s="379">
        <f t="shared" si="15"/>
        <v>0</v>
      </c>
      <c r="AL56" s="380">
        <f t="shared" si="133"/>
        <v>0</v>
      </c>
      <c r="AM56" s="134" t="e">
        <f t="shared" si="99"/>
        <v>#DIV/0!</v>
      </c>
      <c r="AN56" s="452"/>
      <c r="AO56" s="474">
        <f t="shared" si="134"/>
        <v>0</v>
      </c>
      <c r="AP56" s="473">
        <f t="shared" si="135"/>
        <v>0</v>
      </c>
      <c r="AQ56" s="473">
        <f t="shared" si="136"/>
        <v>0</v>
      </c>
      <c r="AR56" s="474">
        <f t="shared" si="137"/>
        <v>0</v>
      </c>
      <c r="AS56" s="474">
        <f t="shared" si="138"/>
        <v>0</v>
      </c>
      <c r="AT56" s="473"/>
      <c r="AU56" s="431">
        <f t="shared" si="139"/>
        <v>0</v>
      </c>
      <c r="AV56" s="250"/>
      <c r="AW56" s="267"/>
      <c r="AX56" s="271"/>
      <c r="AY56" s="268"/>
      <c r="AZ56" s="268"/>
      <c r="BA56" s="268"/>
      <c r="BB56" s="268"/>
      <c r="BC56" s="268"/>
      <c r="BD56" s="268"/>
      <c r="BE56" s="268"/>
      <c r="BF56" s="268"/>
      <c r="BG56" s="268"/>
      <c r="BH56" s="268"/>
      <c r="BI56" s="268"/>
      <c r="BJ56" s="268"/>
      <c r="BK56" s="268"/>
      <c r="BL56" s="268"/>
      <c r="BM56" s="268"/>
      <c r="BN56" s="268"/>
      <c r="BO56" s="268"/>
      <c r="BP56" s="268"/>
      <c r="BQ56" s="268"/>
      <c r="BR56" s="268"/>
      <c r="BS56" s="268"/>
      <c r="BT56" s="268"/>
      <c r="BU56" s="268"/>
      <c r="BV56" s="268"/>
      <c r="BW56" s="268"/>
      <c r="BX56" s="268"/>
      <c r="BY56" s="268"/>
      <c r="BZ56" s="268"/>
      <c r="CA56" s="268"/>
      <c r="CB56" s="268"/>
      <c r="CC56" s="268"/>
      <c r="CD56" s="268"/>
      <c r="CE56" s="268"/>
      <c r="CF56" s="268"/>
      <c r="CG56" s="268"/>
      <c r="CH56" s="268"/>
      <c r="CI56" s="268"/>
      <c r="CJ56" s="268"/>
      <c r="CK56" s="268"/>
      <c r="CL56" s="268"/>
      <c r="CM56" s="268"/>
      <c r="CN56" s="268"/>
      <c r="CO56" s="268"/>
      <c r="CP56" s="268"/>
      <c r="CQ56" s="268"/>
      <c r="CR56" s="268"/>
      <c r="CS56" s="268"/>
      <c r="CT56" s="268"/>
      <c r="CU56" s="268"/>
      <c r="CV56" s="268"/>
      <c r="CW56" s="268"/>
      <c r="CX56" s="268"/>
      <c r="CY56" s="268"/>
      <c r="CZ56" s="268"/>
      <c r="DA56" s="268"/>
      <c r="DB56" s="268"/>
      <c r="DC56" s="268"/>
      <c r="DD56" s="268"/>
      <c r="DE56" s="268"/>
      <c r="DF56" s="268"/>
      <c r="DG56" s="268"/>
      <c r="DH56" s="268"/>
      <c r="DI56" s="268"/>
      <c r="DJ56" s="268"/>
      <c r="DK56" s="268"/>
      <c r="DL56" s="268"/>
      <c r="DM56" s="268"/>
      <c r="DN56" s="268"/>
      <c r="DO56" s="268"/>
      <c r="DP56" s="268"/>
      <c r="DQ56" s="268"/>
      <c r="DR56" s="268"/>
      <c r="DS56" s="268"/>
      <c r="DT56" s="268"/>
      <c r="DU56" s="268"/>
      <c r="DV56" s="268"/>
      <c r="DW56" s="268"/>
      <c r="DX56" s="268"/>
      <c r="DY56" s="268"/>
      <c r="DZ56" s="268"/>
      <c r="EA56" s="268"/>
      <c r="EB56" s="268"/>
      <c r="EC56" s="268"/>
      <c r="ED56" s="268"/>
      <c r="EE56" s="268"/>
      <c r="EF56" s="268"/>
      <c r="EG56" s="268"/>
      <c r="EH56" s="268"/>
      <c r="EI56" s="268"/>
    </row>
    <row r="57" spans="1:139" s="249" customFormat="1" ht="12.75" customHeight="1">
      <c r="A57" s="1018" t="s">
        <v>78</v>
      </c>
      <c r="B57" s="1655"/>
      <c r="C57" s="1656"/>
      <c r="D57" s="1654"/>
      <c r="E57" s="805">
        <f t="shared" si="121"/>
      </c>
      <c r="F57" s="1707"/>
      <c r="G57" s="1709"/>
      <c r="H57" s="1712"/>
      <c r="I57" s="1713"/>
      <c r="J57" s="1684"/>
      <c r="K57" s="1667"/>
      <c r="L57" s="800">
        <f t="shared" si="13"/>
      </c>
      <c r="M57" s="1693"/>
      <c r="N57" s="707">
        <f t="shared" si="122"/>
        <v>0</v>
      </c>
      <c r="O57" s="710">
        <f t="shared" si="123"/>
        <v>0</v>
      </c>
      <c r="P57" s="799">
        <f t="shared" si="19"/>
        <v>0</v>
      </c>
      <c r="Q57" s="1695"/>
      <c r="R57" s="802">
        <f t="shared" si="124"/>
        <v>10</v>
      </c>
      <c r="S57" s="97">
        <f t="shared" si="78"/>
        <v>0</v>
      </c>
      <c r="T57" s="765">
        <f t="shared" si="125"/>
        <v>0</v>
      </c>
      <c r="U57" s="467">
        <f t="shared" si="126"/>
        <v>0</v>
      </c>
      <c r="V57" s="31">
        <f t="shared" si="140"/>
        <v>0</v>
      </c>
      <c r="W57" s="105">
        <f t="shared" si="127"/>
        <v>0</v>
      </c>
      <c r="X57" s="23">
        <f t="shared" si="82"/>
        <v>0</v>
      </c>
      <c r="Y57" s="32">
        <f t="shared" si="128"/>
        <v>0</v>
      </c>
      <c r="Z57" s="409">
        <f t="shared" si="129"/>
        <v>0</v>
      </c>
      <c r="AA57" s="171">
        <f aca="true" t="shared" si="141" ref="AA57:AA62">B57</f>
        <v>0</v>
      </c>
      <c r="AB57" s="1734"/>
      <c r="AC57" s="1735"/>
      <c r="AD57" s="48">
        <f t="shared" si="130"/>
        <v>10</v>
      </c>
      <c r="AE57" s="29">
        <f t="shared" si="97"/>
        <v>360</v>
      </c>
      <c r="AF57" s="31">
        <f t="shared" si="131"/>
        <v>0</v>
      </c>
      <c r="AG57" s="1728"/>
      <c r="AH57" s="836"/>
      <c r="AI57" s="25">
        <f t="shared" si="132"/>
        <v>0</v>
      </c>
      <c r="AJ57" s="24">
        <f t="shared" si="98"/>
        <v>0</v>
      </c>
      <c r="AK57" s="379">
        <f t="shared" si="15"/>
        <v>0</v>
      </c>
      <c r="AL57" s="380">
        <f t="shared" si="133"/>
        <v>0</v>
      </c>
      <c r="AM57" s="134" t="e">
        <f t="shared" si="99"/>
        <v>#DIV/0!</v>
      </c>
      <c r="AN57" s="452"/>
      <c r="AO57" s="474">
        <f t="shared" si="134"/>
        <v>0</v>
      </c>
      <c r="AP57" s="473">
        <f t="shared" si="135"/>
        <v>0</v>
      </c>
      <c r="AQ57" s="473">
        <f t="shared" si="136"/>
        <v>0</v>
      </c>
      <c r="AR57" s="474">
        <f t="shared" si="137"/>
        <v>0</v>
      </c>
      <c r="AS57" s="474">
        <f t="shared" si="138"/>
        <v>0</v>
      </c>
      <c r="AT57" s="473"/>
      <c r="AU57" s="431">
        <f t="shared" si="139"/>
        <v>0</v>
      </c>
      <c r="AV57" s="250"/>
      <c r="AW57" s="267"/>
      <c r="AX57" s="271"/>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8"/>
      <c r="BZ57" s="268"/>
      <c r="CA57" s="268"/>
      <c r="CB57" s="268"/>
      <c r="CC57" s="268"/>
      <c r="CD57" s="268"/>
      <c r="CE57" s="268"/>
      <c r="CF57" s="268"/>
      <c r="CG57" s="268"/>
      <c r="CH57" s="268"/>
      <c r="CI57" s="268"/>
      <c r="CJ57" s="268"/>
      <c r="CK57" s="268"/>
      <c r="CL57" s="268"/>
      <c r="CM57" s="268"/>
      <c r="CN57" s="268"/>
      <c r="CO57" s="268"/>
      <c r="CP57" s="268"/>
      <c r="CQ57" s="268"/>
      <c r="CR57" s="268"/>
      <c r="CS57" s="268"/>
      <c r="CT57" s="268"/>
      <c r="CU57" s="268"/>
      <c r="CV57" s="268"/>
      <c r="CW57" s="268"/>
      <c r="CX57" s="268"/>
      <c r="CY57" s="268"/>
      <c r="CZ57" s="268"/>
      <c r="DA57" s="268"/>
      <c r="DB57" s="268"/>
      <c r="DC57" s="268"/>
      <c r="DD57" s="268"/>
      <c r="DE57" s="268"/>
      <c r="DF57" s="268"/>
      <c r="DG57" s="268"/>
      <c r="DH57" s="268"/>
      <c r="DI57" s="268"/>
      <c r="DJ57" s="268"/>
      <c r="DK57" s="268"/>
      <c r="DL57" s="268"/>
      <c r="DM57" s="268"/>
      <c r="DN57" s="268"/>
      <c r="DO57" s="268"/>
      <c r="DP57" s="268"/>
      <c r="DQ57" s="268"/>
      <c r="DR57" s="268"/>
      <c r="DS57" s="268"/>
      <c r="DT57" s="268"/>
      <c r="DU57" s="268"/>
      <c r="DV57" s="268"/>
      <c r="DW57" s="268"/>
      <c r="DX57" s="268"/>
      <c r="DY57" s="268"/>
      <c r="DZ57" s="268"/>
      <c r="EA57" s="268"/>
      <c r="EB57" s="268"/>
      <c r="EC57" s="268"/>
      <c r="ED57" s="268"/>
      <c r="EE57" s="268"/>
      <c r="EF57" s="268"/>
      <c r="EG57" s="268"/>
      <c r="EH57" s="268"/>
      <c r="EI57" s="268"/>
    </row>
    <row r="58" spans="1:139" s="249" customFormat="1" ht="12.75" customHeight="1">
      <c r="A58" s="1018" t="s">
        <v>78</v>
      </c>
      <c r="B58" s="1662"/>
      <c r="C58" s="1656"/>
      <c r="D58" s="1669"/>
      <c r="E58" s="805">
        <f t="shared" si="121"/>
      </c>
      <c r="F58" s="1707"/>
      <c r="G58" s="1714"/>
      <c r="H58" s="1688"/>
      <c r="I58" s="1679"/>
      <c r="J58" s="1688"/>
      <c r="K58" s="1667"/>
      <c r="L58" s="800">
        <f t="shared" si="13"/>
      </c>
      <c r="M58" s="1693"/>
      <c r="N58" s="707">
        <f t="shared" si="122"/>
        <v>0</v>
      </c>
      <c r="O58" s="710">
        <f t="shared" si="123"/>
        <v>0</v>
      </c>
      <c r="P58" s="799">
        <f t="shared" si="19"/>
        <v>0</v>
      </c>
      <c r="Q58" s="1695"/>
      <c r="R58" s="802">
        <f t="shared" si="124"/>
        <v>10</v>
      </c>
      <c r="S58" s="97">
        <f t="shared" si="78"/>
        <v>0</v>
      </c>
      <c r="T58" s="765">
        <f t="shared" si="125"/>
        <v>0</v>
      </c>
      <c r="U58" s="470">
        <f t="shared" si="126"/>
        <v>0</v>
      </c>
      <c r="V58" s="31">
        <f t="shared" si="140"/>
        <v>0</v>
      </c>
      <c r="W58" s="105">
        <f t="shared" si="127"/>
        <v>0</v>
      </c>
      <c r="X58" s="23">
        <f t="shared" si="82"/>
        <v>0</v>
      </c>
      <c r="Y58" s="32">
        <f t="shared" si="128"/>
        <v>0</v>
      </c>
      <c r="Z58" s="409">
        <f t="shared" si="129"/>
        <v>0</v>
      </c>
      <c r="AA58" s="171">
        <f t="shared" si="141"/>
        <v>0</v>
      </c>
      <c r="AB58" s="1734"/>
      <c r="AC58" s="1735"/>
      <c r="AD58" s="48">
        <f t="shared" si="130"/>
        <v>10</v>
      </c>
      <c r="AE58" s="29">
        <f t="shared" si="97"/>
        <v>360</v>
      </c>
      <c r="AF58" s="31">
        <f t="shared" si="131"/>
        <v>0</v>
      </c>
      <c r="AG58" s="1743"/>
      <c r="AH58" s="840"/>
      <c r="AI58" s="25">
        <f t="shared" si="132"/>
        <v>0</v>
      </c>
      <c r="AJ58" s="24">
        <f t="shared" si="98"/>
        <v>0</v>
      </c>
      <c r="AK58" s="379">
        <f t="shared" si="15"/>
        <v>0</v>
      </c>
      <c r="AL58" s="380">
        <f t="shared" si="133"/>
        <v>0</v>
      </c>
      <c r="AM58" s="134" t="e">
        <f t="shared" si="99"/>
        <v>#DIV/0!</v>
      </c>
      <c r="AN58" s="452"/>
      <c r="AO58" s="474">
        <f t="shared" si="134"/>
        <v>0</v>
      </c>
      <c r="AP58" s="473">
        <f t="shared" si="135"/>
        <v>0</v>
      </c>
      <c r="AQ58" s="473">
        <f t="shared" si="136"/>
        <v>0</v>
      </c>
      <c r="AR58" s="474">
        <f t="shared" si="137"/>
        <v>0</v>
      </c>
      <c r="AS58" s="474">
        <f t="shared" si="138"/>
        <v>0</v>
      </c>
      <c r="AT58" s="475"/>
      <c r="AU58" s="431">
        <f t="shared" si="139"/>
        <v>0</v>
      </c>
      <c r="AV58" s="250"/>
      <c r="AW58" s="251"/>
      <c r="AX58" s="271"/>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8"/>
      <c r="BX58" s="268"/>
      <c r="BY58" s="268"/>
      <c r="BZ58" s="268"/>
      <c r="CA58" s="268"/>
      <c r="CB58" s="268"/>
      <c r="CC58" s="268"/>
      <c r="CD58" s="268"/>
      <c r="CE58" s="268"/>
      <c r="CF58" s="268"/>
      <c r="CG58" s="268"/>
      <c r="CH58" s="268"/>
      <c r="CI58" s="268"/>
      <c r="CJ58" s="268"/>
      <c r="CK58" s="268"/>
      <c r="CL58" s="268"/>
      <c r="CM58" s="268"/>
      <c r="CN58" s="268"/>
      <c r="CO58" s="268"/>
      <c r="CP58" s="268"/>
      <c r="CQ58" s="268"/>
      <c r="CR58" s="268"/>
      <c r="CS58" s="268"/>
      <c r="CT58" s="268"/>
      <c r="CU58" s="268"/>
      <c r="CV58" s="268"/>
      <c r="CW58" s="268"/>
      <c r="CX58" s="268"/>
      <c r="CY58" s="268"/>
      <c r="CZ58" s="268"/>
      <c r="DA58" s="268"/>
      <c r="DB58" s="268"/>
      <c r="DC58" s="268"/>
      <c r="DD58" s="268"/>
      <c r="DE58" s="268"/>
      <c r="DF58" s="268"/>
      <c r="DG58" s="268"/>
      <c r="DH58" s="268"/>
      <c r="DI58" s="268"/>
      <c r="DJ58" s="268"/>
      <c r="DK58" s="268"/>
      <c r="DL58" s="268"/>
      <c r="DM58" s="268"/>
      <c r="DN58" s="268"/>
      <c r="DO58" s="268"/>
      <c r="DP58" s="268"/>
      <c r="DQ58" s="268"/>
      <c r="DR58" s="268"/>
      <c r="DS58" s="268"/>
      <c r="DT58" s="268"/>
      <c r="DU58" s="268"/>
      <c r="DV58" s="268"/>
      <c r="DW58" s="268"/>
      <c r="DX58" s="268"/>
      <c r="DY58" s="268"/>
      <c r="DZ58" s="268"/>
      <c r="EA58" s="268"/>
      <c r="EB58" s="268"/>
      <c r="EC58" s="268"/>
      <c r="ED58" s="268"/>
      <c r="EE58" s="268"/>
      <c r="EF58" s="268"/>
      <c r="EG58" s="268"/>
      <c r="EH58" s="268"/>
      <c r="EI58" s="268"/>
    </row>
    <row r="59" spans="1:139" s="249" customFormat="1" ht="12.75" customHeight="1">
      <c r="A59" s="1018" t="s">
        <v>78</v>
      </c>
      <c r="B59" s="1655"/>
      <c r="C59" s="1657"/>
      <c r="D59" s="1669"/>
      <c r="E59" s="805">
        <f t="shared" si="121"/>
      </c>
      <c r="F59" s="1682"/>
      <c r="G59" s="1684"/>
      <c r="H59" s="1715"/>
      <c r="I59" s="1679"/>
      <c r="J59" s="1688"/>
      <c r="K59" s="1667"/>
      <c r="L59" s="800">
        <f t="shared" si="13"/>
      </c>
      <c r="M59" s="1693"/>
      <c r="N59" s="707">
        <f t="shared" si="122"/>
        <v>0</v>
      </c>
      <c r="O59" s="710">
        <f t="shared" si="123"/>
        <v>0</v>
      </c>
      <c r="P59" s="799">
        <f t="shared" si="19"/>
        <v>0</v>
      </c>
      <c r="Q59" s="1695"/>
      <c r="R59" s="802">
        <f t="shared" si="124"/>
        <v>10</v>
      </c>
      <c r="S59" s="97">
        <f t="shared" si="78"/>
        <v>0</v>
      </c>
      <c r="T59" s="765">
        <f t="shared" si="125"/>
        <v>0</v>
      </c>
      <c r="U59" s="467">
        <f t="shared" si="126"/>
        <v>0</v>
      </c>
      <c r="V59" s="31">
        <f t="shared" si="140"/>
        <v>0</v>
      </c>
      <c r="W59" s="105">
        <f t="shared" si="127"/>
        <v>0</v>
      </c>
      <c r="X59" s="23">
        <f t="shared" si="82"/>
        <v>0</v>
      </c>
      <c r="Y59" s="32">
        <f t="shared" si="128"/>
        <v>0</v>
      </c>
      <c r="Z59" s="409">
        <f t="shared" si="129"/>
        <v>0</v>
      </c>
      <c r="AA59" s="171">
        <f t="shared" si="141"/>
        <v>0</v>
      </c>
      <c r="AB59" s="1734"/>
      <c r="AC59" s="1738"/>
      <c r="AD59" s="48">
        <f t="shared" si="130"/>
        <v>10</v>
      </c>
      <c r="AE59" s="29">
        <f t="shared" si="97"/>
        <v>360</v>
      </c>
      <c r="AF59" s="31">
        <f t="shared" si="131"/>
        <v>0</v>
      </c>
      <c r="AG59" s="1727"/>
      <c r="AH59" s="836"/>
      <c r="AI59" s="25">
        <f t="shared" si="132"/>
        <v>0</v>
      </c>
      <c r="AJ59" s="24">
        <f t="shared" si="98"/>
        <v>0</v>
      </c>
      <c r="AK59" s="379">
        <f t="shared" si="15"/>
        <v>0</v>
      </c>
      <c r="AL59" s="380">
        <f t="shared" si="133"/>
        <v>0</v>
      </c>
      <c r="AM59" s="134" t="e">
        <f t="shared" si="99"/>
        <v>#DIV/0!</v>
      </c>
      <c r="AN59" s="452"/>
      <c r="AO59" s="474">
        <f t="shared" si="134"/>
        <v>0</v>
      </c>
      <c r="AP59" s="473">
        <f t="shared" si="135"/>
        <v>0</v>
      </c>
      <c r="AQ59" s="473">
        <f t="shared" si="136"/>
        <v>0</v>
      </c>
      <c r="AR59" s="474">
        <f t="shared" si="137"/>
        <v>0</v>
      </c>
      <c r="AS59" s="474">
        <f t="shared" si="138"/>
        <v>0</v>
      </c>
      <c r="AT59" s="475"/>
      <c r="AU59" s="431">
        <f t="shared" si="139"/>
        <v>0</v>
      </c>
      <c r="AV59" s="250"/>
      <c r="AW59" s="251"/>
      <c r="AX59" s="271"/>
      <c r="AY59" s="268"/>
      <c r="AZ59" s="268"/>
      <c r="BA59" s="268"/>
      <c r="BB59" s="268"/>
      <c r="BC59" s="268"/>
      <c r="BD59" s="268"/>
      <c r="BE59" s="268"/>
      <c r="BF59" s="268"/>
      <c r="BG59" s="268"/>
      <c r="BH59" s="268"/>
      <c r="BI59" s="268"/>
      <c r="BJ59" s="268"/>
      <c r="BK59" s="268"/>
      <c r="BL59" s="268"/>
      <c r="BM59" s="268"/>
      <c r="BN59" s="268"/>
      <c r="BO59" s="268"/>
      <c r="BP59" s="268"/>
      <c r="BQ59" s="268"/>
      <c r="BR59" s="268"/>
      <c r="BS59" s="268"/>
      <c r="BT59" s="268"/>
      <c r="BU59" s="268"/>
      <c r="BV59" s="268"/>
      <c r="BW59" s="268"/>
      <c r="BX59" s="268"/>
      <c r="BY59" s="268"/>
      <c r="BZ59" s="268"/>
      <c r="CA59" s="268"/>
      <c r="CB59" s="268"/>
      <c r="CC59" s="268"/>
      <c r="CD59" s="268"/>
      <c r="CE59" s="268"/>
      <c r="CF59" s="268"/>
      <c r="CG59" s="268"/>
      <c r="CH59" s="268"/>
      <c r="CI59" s="268"/>
      <c r="CJ59" s="268"/>
      <c r="CK59" s="268"/>
      <c r="CL59" s="268"/>
      <c r="CM59" s="268"/>
      <c r="CN59" s="268"/>
      <c r="CO59" s="268"/>
      <c r="CP59" s="268"/>
      <c r="CQ59" s="268"/>
      <c r="CR59" s="268"/>
      <c r="CS59" s="268"/>
      <c r="CT59" s="268"/>
      <c r="CU59" s="268"/>
      <c r="CV59" s="268"/>
      <c r="CW59" s="268"/>
      <c r="CX59" s="268"/>
      <c r="CY59" s="268"/>
      <c r="CZ59" s="268"/>
      <c r="DA59" s="268"/>
      <c r="DB59" s="268"/>
      <c r="DC59" s="268"/>
      <c r="DD59" s="268"/>
      <c r="DE59" s="268"/>
      <c r="DF59" s="268"/>
      <c r="DG59" s="268"/>
      <c r="DH59" s="268"/>
      <c r="DI59" s="268"/>
      <c r="DJ59" s="268"/>
      <c r="DK59" s="268"/>
      <c r="DL59" s="268"/>
      <c r="DM59" s="268"/>
      <c r="DN59" s="268"/>
      <c r="DO59" s="268"/>
      <c r="DP59" s="268"/>
      <c r="DQ59" s="268"/>
      <c r="DR59" s="268"/>
      <c r="DS59" s="268"/>
      <c r="DT59" s="268"/>
      <c r="DU59" s="268"/>
      <c r="DV59" s="268"/>
      <c r="DW59" s="268"/>
      <c r="DX59" s="268"/>
      <c r="DY59" s="268"/>
      <c r="DZ59" s="268"/>
      <c r="EA59" s="268"/>
      <c r="EB59" s="268"/>
      <c r="EC59" s="268"/>
      <c r="ED59" s="268"/>
      <c r="EE59" s="268"/>
      <c r="EF59" s="268"/>
      <c r="EG59" s="268"/>
      <c r="EH59" s="268"/>
      <c r="EI59" s="268"/>
    </row>
    <row r="60" spans="1:139" s="249" customFormat="1" ht="12.75" customHeight="1">
      <c r="A60" s="1018" t="s">
        <v>78</v>
      </c>
      <c r="B60" s="1655"/>
      <c r="C60" s="1657"/>
      <c r="D60" s="1669"/>
      <c r="E60" s="805">
        <f t="shared" si="121"/>
      </c>
      <c r="F60" s="1682"/>
      <c r="G60" s="1684"/>
      <c r="H60" s="1698"/>
      <c r="I60" s="1679"/>
      <c r="J60" s="1688"/>
      <c r="K60" s="1667"/>
      <c r="L60" s="800">
        <f t="shared" si="13"/>
      </c>
      <c r="M60" s="1693"/>
      <c r="N60" s="707">
        <f t="shared" si="122"/>
        <v>0</v>
      </c>
      <c r="O60" s="710">
        <f t="shared" si="123"/>
        <v>0</v>
      </c>
      <c r="P60" s="799">
        <f t="shared" si="19"/>
        <v>0</v>
      </c>
      <c r="Q60" s="1695"/>
      <c r="R60" s="802">
        <f t="shared" si="124"/>
        <v>10</v>
      </c>
      <c r="S60" s="97">
        <f t="shared" si="78"/>
        <v>0</v>
      </c>
      <c r="T60" s="765">
        <f t="shared" si="125"/>
        <v>0</v>
      </c>
      <c r="U60" s="467">
        <f t="shared" si="126"/>
        <v>0</v>
      </c>
      <c r="V60" s="31">
        <f t="shared" si="140"/>
        <v>0</v>
      </c>
      <c r="W60" s="105">
        <f t="shared" si="127"/>
        <v>0</v>
      </c>
      <c r="X60" s="54">
        <f t="shared" si="82"/>
        <v>0</v>
      </c>
      <c r="Y60" s="32">
        <f t="shared" si="128"/>
        <v>0</v>
      </c>
      <c r="Z60" s="409">
        <f t="shared" si="129"/>
        <v>0</v>
      </c>
      <c r="AA60" s="171">
        <f t="shared" si="141"/>
        <v>0</v>
      </c>
      <c r="AB60" s="1739"/>
      <c r="AC60" s="1738"/>
      <c r="AD60" s="48">
        <f t="shared" si="130"/>
        <v>10</v>
      </c>
      <c r="AE60" s="29">
        <f t="shared" si="97"/>
        <v>360</v>
      </c>
      <c r="AF60" s="31">
        <f t="shared" si="131"/>
        <v>0</v>
      </c>
      <c r="AG60" s="1729"/>
      <c r="AH60" s="840"/>
      <c r="AI60" s="25">
        <f t="shared" si="132"/>
        <v>0</v>
      </c>
      <c r="AJ60" s="24">
        <f t="shared" si="98"/>
        <v>0</v>
      </c>
      <c r="AK60" s="379">
        <f t="shared" si="15"/>
        <v>0</v>
      </c>
      <c r="AL60" s="380">
        <f t="shared" si="133"/>
        <v>0</v>
      </c>
      <c r="AM60" s="381" t="e">
        <f t="shared" si="99"/>
        <v>#DIV/0!</v>
      </c>
      <c r="AN60" s="452"/>
      <c r="AO60" s="474">
        <f t="shared" si="134"/>
        <v>0</v>
      </c>
      <c r="AP60" s="473">
        <f t="shared" si="135"/>
        <v>0</v>
      </c>
      <c r="AQ60" s="473">
        <f t="shared" si="136"/>
        <v>0</v>
      </c>
      <c r="AR60" s="474">
        <f t="shared" si="137"/>
        <v>0</v>
      </c>
      <c r="AS60" s="474">
        <f t="shared" si="138"/>
        <v>0</v>
      </c>
      <c r="AT60" s="475"/>
      <c r="AU60" s="431">
        <f t="shared" si="139"/>
        <v>0</v>
      </c>
      <c r="AV60" s="250"/>
      <c r="AW60" s="251"/>
      <c r="AX60" s="271"/>
      <c r="AY60" s="268"/>
      <c r="AZ60" s="268"/>
      <c r="BA60" s="268"/>
      <c r="BB60" s="268"/>
      <c r="BC60" s="268"/>
      <c r="BD60" s="268"/>
      <c r="BE60" s="268"/>
      <c r="BF60" s="268"/>
      <c r="BG60" s="268"/>
      <c r="BH60" s="268"/>
      <c r="BI60" s="268"/>
      <c r="BJ60" s="268"/>
      <c r="BK60" s="268"/>
      <c r="BL60" s="268"/>
      <c r="BM60" s="268"/>
      <c r="BN60" s="268"/>
      <c r="BO60" s="268"/>
      <c r="BP60" s="268"/>
      <c r="BQ60" s="268"/>
      <c r="BR60" s="268"/>
      <c r="BS60" s="268"/>
      <c r="BT60" s="268"/>
      <c r="BU60" s="268"/>
      <c r="BV60" s="268"/>
      <c r="BW60" s="268"/>
      <c r="BX60" s="268"/>
      <c r="BY60" s="268"/>
      <c r="BZ60" s="268"/>
      <c r="CA60" s="268"/>
      <c r="CB60" s="268"/>
      <c r="CC60" s="268"/>
      <c r="CD60" s="268"/>
      <c r="CE60" s="268"/>
      <c r="CF60" s="268"/>
      <c r="CG60" s="268"/>
      <c r="CH60" s="268"/>
      <c r="CI60" s="268"/>
      <c r="CJ60" s="268"/>
      <c r="CK60" s="268"/>
      <c r="CL60" s="268"/>
      <c r="CM60" s="268"/>
      <c r="CN60" s="268"/>
      <c r="CO60" s="268"/>
      <c r="CP60" s="268"/>
      <c r="CQ60" s="268"/>
      <c r="CR60" s="268"/>
      <c r="CS60" s="268"/>
      <c r="CT60" s="268"/>
      <c r="CU60" s="268"/>
      <c r="CV60" s="268"/>
      <c r="CW60" s="268"/>
      <c r="CX60" s="268"/>
      <c r="CY60" s="268"/>
      <c r="CZ60" s="268"/>
      <c r="DA60" s="268"/>
      <c r="DB60" s="268"/>
      <c r="DC60" s="268"/>
      <c r="DD60" s="268"/>
      <c r="DE60" s="268"/>
      <c r="DF60" s="268"/>
      <c r="DG60" s="268"/>
      <c r="DH60" s="268"/>
      <c r="DI60" s="268"/>
      <c r="DJ60" s="268"/>
      <c r="DK60" s="268"/>
      <c r="DL60" s="268"/>
      <c r="DM60" s="268"/>
      <c r="DN60" s="268"/>
      <c r="DO60" s="268"/>
      <c r="DP60" s="268"/>
      <c r="DQ60" s="268"/>
      <c r="DR60" s="268"/>
      <c r="DS60" s="268"/>
      <c r="DT60" s="268"/>
      <c r="DU60" s="268"/>
      <c r="DV60" s="268"/>
      <c r="DW60" s="268"/>
      <c r="DX60" s="268"/>
      <c r="DY60" s="268"/>
      <c r="DZ60" s="268"/>
      <c r="EA60" s="268"/>
      <c r="EB60" s="268"/>
      <c r="EC60" s="268"/>
      <c r="ED60" s="268"/>
      <c r="EE60" s="268"/>
      <c r="EF60" s="268"/>
      <c r="EG60" s="268"/>
      <c r="EH60" s="268"/>
      <c r="EI60" s="268"/>
    </row>
    <row r="61" spans="1:139" s="52" customFormat="1" ht="12.75" customHeight="1">
      <c r="A61" s="1016" t="s">
        <v>78</v>
      </c>
      <c r="B61" s="1655"/>
      <c r="C61" s="1657"/>
      <c r="D61" s="1669"/>
      <c r="E61" s="805">
        <f t="shared" si="121"/>
      </c>
      <c r="F61" s="1682"/>
      <c r="G61" s="1684"/>
      <c r="H61" s="1698"/>
      <c r="I61" s="1679"/>
      <c r="J61" s="1684"/>
      <c r="K61" s="1667"/>
      <c r="L61" s="800">
        <f t="shared" si="13"/>
      </c>
      <c r="M61" s="1693"/>
      <c r="N61" s="707">
        <f t="shared" si="122"/>
        <v>0</v>
      </c>
      <c r="O61" s="710">
        <f t="shared" si="123"/>
        <v>0</v>
      </c>
      <c r="P61" s="799">
        <f t="shared" si="19"/>
        <v>0</v>
      </c>
      <c r="Q61" s="1695"/>
      <c r="R61" s="802">
        <f t="shared" si="124"/>
        <v>10</v>
      </c>
      <c r="S61" s="97">
        <f t="shared" si="78"/>
        <v>0</v>
      </c>
      <c r="T61" s="765">
        <f t="shared" si="125"/>
        <v>0</v>
      </c>
      <c r="U61" s="467">
        <f t="shared" si="126"/>
        <v>0</v>
      </c>
      <c r="V61" s="31">
        <f t="shared" si="140"/>
        <v>0</v>
      </c>
      <c r="W61" s="105">
        <f t="shared" si="127"/>
        <v>0</v>
      </c>
      <c r="X61" s="23">
        <f t="shared" si="82"/>
        <v>0</v>
      </c>
      <c r="Y61" s="32">
        <f t="shared" si="128"/>
        <v>0</v>
      </c>
      <c r="Z61" s="409">
        <f t="shared" si="129"/>
        <v>0</v>
      </c>
      <c r="AA61" s="171">
        <f t="shared" si="141"/>
        <v>0</v>
      </c>
      <c r="AB61" s="1739"/>
      <c r="AC61" s="1738"/>
      <c r="AD61" s="48">
        <f t="shared" si="130"/>
        <v>10</v>
      </c>
      <c r="AE61" s="29">
        <f t="shared" si="97"/>
        <v>360</v>
      </c>
      <c r="AF61" s="31">
        <f t="shared" si="131"/>
        <v>0</v>
      </c>
      <c r="AG61" s="1728"/>
      <c r="AH61" s="836"/>
      <c r="AI61" s="25">
        <f t="shared" si="132"/>
        <v>0</v>
      </c>
      <c r="AJ61" s="24">
        <f t="shared" si="98"/>
        <v>0</v>
      </c>
      <c r="AK61" s="379">
        <f t="shared" si="15"/>
        <v>0</v>
      </c>
      <c r="AL61" s="380">
        <f t="shared" si="133"/>
        <v>0</v>
      </c>
      <c r="AM61" s="381" t="e">
        <f t="shared" si="99"/>
        <v>#DIV/0!</v>
      </c>
      <c r="AN61" s="62"/>
      <c r="AO61" s="474">
        <f t="shared" si="134"/>
        <v>0</v>
      </c>
      <c r="AP61" s="473">
        <f t="shared" si="135"/>
        <v>0</v>
      </c>
      <c r="AQ61" s="473">
        <f t="shared" si="136"/>
        <v>0</v>
      </c>
      <c r="AR61" s="474">
        <f t="shared" si="137"/>
        <v>0</v>
      </c>
      <c r="AS61" s="474">
        <f t="shared" si="138"/>
        <v>0</v>
      </c>
      <c r="AT61" s="475"/>
      <c r="AU61" s="246">
        <f t="shared" si="139"/>
        <v>0</v>
      </c>
      <c r="AV61" s="70"/>
      <c r="AW61" s="47"/>
      <c r="AX61" s="104"/>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row>
    <row r="62" spans="1:139" s="53" customFormat="1" ht="12.75" customHeight="1">
      <c r="A62" s="1002" t="s">
        <v>78</v>
      </c>
      <c r="B62" s="1655"/>
      <c r="C62" s="1657"/>
      <c r="D62" s="1669"/>
      <c r="E62" s="805">
        <f t="shared" si="121"/>
      </c>
      <c r="F62" s="1682"/>
      <c r="G62" s="1684"/>
      <c r="H62" s="1698"/>
      <c r="I62" s="1679"/>
      <c r="J62" s="1684"/>
      <c r="K62" s="1667"/>
      <c r="L62" s="800">
        <f t="shared" si="13"/>
      </c>
      <c r="M62" s="1693"/>
      <c r="N62" s="707">
        <f t="shared" si="122"/>
        <v>0</v>
      </c>
      <c r="O62" s="710">
        <f t="shared" si="123"/>
        <v>0</v>
      </c>
      <c r="P62" s="799">
        <f t="shared" si="19"/>
        <v>0</v>
      </c>
      <c r="Q62" s="1695"/>
      <c r="R62" s="802">
        <f t="shared" si="124"/>
        <v>10</v>
      </c>
      <c r="S62" s="97">
        <f t="shared" si="78"/>
        <v>0</v>
      </c>
      <c r="T62" s="765">
        <f t="shared" si="125"/>
        <v>0</v>
      </c>
      <c r="U62" s="467">
        <f t="shared" si="126"/>
        <v>0</v>
      </c>
      <c r="V62" s="31">
        <f t="shared" si="140"/>
        <v>0</v>
      </c>
      <c r="W62" s="105">
        <f t="shared" si="127"/>
        <v>0</v>
      </c>
      <c r="X62" s="23">
        <f t="shared" si="82"/>
        <v>0</v>
      </c>
      <c r="Y62" s="32">
        <f t="shared" si="128"/>
        <v>0</v>
      </c>
      <c r="Z62" s="409">
        <f t="shared" si="129"/>
        <v>0</v>
      </c>
      <c r="AA62" s="171">
        <f t="shared" si="141"/>
        <v>0</v>
      </c>
      <c r="AB62" s="1740"/>
      <c r="AC62" s="1741"/>
      <c r="AD62" s="48">
        <f t="shared" si="130"/>
        <v>10</v>
      </c>
      <c r="AE62" s="29">
        <f t="shared" si="97"/>
        <v>360</v>
      </c>
      <c r="AF62" s="31">
        <f t="shared" si="131"/>
        <v>0</v>
      </c>
      <c r="AG62" s="1728"/>
      <c r="AH62" s="836"/>
      <c r="AI62" s="25">
        <f t="shared" si="132"/>
        <v>0</v>
      </c>
      <c r="AJ62" s="24">
        <f t="shared" si="98"/>
        <v>0</v>
      </c>
      <c r="AK62" s="379">
        <f t="shared" si="15"/>
        <v>0</v>
      </c>
      <c r="AL62" s="380">
        <f t="shared" si="133"/>
        <v>0</v>
      </c>
      <c r="AM62" s="381" t="e">
        <f t="shared" si="99"/>
        <v>#DIV/0!</v>
      </c>
      <c r="AN62" s="62"/>
      <c r="AO62" s="474">
        <f t="shared" si="134"/>
        <v>0</v>
      </c>
      <c r="AP62" s="473">
        <f t="shared" si="135"/>
        <v>0</v>
      </c>
      <c r="AQ62" s="473">
        <f t="shared" si="136"/>
        <v>0</v>
      </c>
      <c r="AR62" s="474">
        <f t="shared" si="137"/>
        <v>0</v>
      </c>
      <c r="AS62" s="474">
        <f t="shared" si="138"/>
        <v>0</v>
      </c>
      <c r="AT62" s="475"/>
      <c r="AU62" s="246">
        <f t="shared" si="139"/>
        <v>0</v>
      </c>
      <c r="AV62" s="70"/>
      <c r="AW62" s="47"/>
      <c r="AX62" s="217"/>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c r="CO62" s="211"/>
      <c r="CP62" s="211"/>
      <c r="CQ62" s="211"/>
      <c r="CR62" s="211"/>
      <c r="CS62" s="211"/>
      <c r="CT62" s="211"/>
      <c r="CU62" s="211"/>
      <c r="CV62" s="211"/>
      <c r="CW62" s="211"/>
      <c r="CX62" s="211"/>
      <c r="CY62" s="211"/>
      <c r="CZ62" s="211"/>
      <c r="DA62" s="211"/>
      <c r="DB62" s="211"/>
      <c r="DC62" s="211"/>
      <c r="DD62" s="211"/>
      <c r="DE62" s="211"/>
      <c r="DF62" s="211"/>
      <c r="DG62" s="211"/>
      <c r="DH62" s="211"/>
      <c r="DI62" s="211"/>
      <c r="DJ62" s="211"/>
      <c r="DK62" s="211"/>
      <c r="DL62" s="211"/>
      <c r="DM62" s="211"/>
      <c r="DN62" s="211"/>
      <c r="DO62" s="211"/>
      <c r="DP62" s="211"/>
      <c r="DQ62" s="211"/>
      <c r="DR62" s="211"/>
      <c r="DS62" s="211"/>
      <c r="DT62" s="211"/>
      <c r="DU62" s="211"/>
      <c r="DV62" s="211"/>
      <c r="DW62" s="211"/>
      <c r="DX62" s="211"/>
      <c r="DY62" s="211"/>
      <c r="DZ62" s="211"/>
      <c r="EA62" s="211"/>
      <c r="EB62" s="211"/>
      <c r="EC62" s="211"/>
      <c r="ED62" s="211"/>
      <c r="EE62" s="211"/>
      <c r="EF62" s="211"/>
      <c r="EG62" s="211"/>
      <c r="EH62" s="211"/>
      <c r="EI62" s="211"/>
    </row>
    <row r="63" spans="1:50" s="734" customFormat="1" ht="12.75" customHeight="1">
      <c r="A63" s="266">
        <v>6</v>
      </c>
      <c r="B63" s="252">
        <f>IF($B55="","",IF($B56="",B55,IF($B57="",B56,IF($B58="",B57,IF($B59="",B58,IF($B60="",B59,IF($B61="",B60,IF($B62="",B61,B62))))))))</f>
      </c>
      <c r="C63" s="253"/>
      <c r="D63" s="254">
        <f>IF($B55="","",IF($B56="",D55,IF($B57="",D56,IF($B58="",D57,IF($B59="",D58,IF($B60="",D59,IF($B61="",D60,IF($B62="",D61,D62))))))))</f>
      </c>
      <c r="E63" s="627"/>
      <c r="F63" s="1023">
        <f>IF($B55="","",IF($B56="",F55,IF($B57="",F56,IF($B58="",F57,IF($B59="",F58,IF($B60="",F59,IF($B61="",F60,IF($B62="",F61,F62))))))))</f>
      </c>
      <c r="G63" s="1024">
        <f>IF($B55="","",IF($B56="",G55,IF($B57="",G56,IF($B58="",G57,IF($B59="",G58,IF($B60="",G59,IF($B61="",G60,IF($B62="",G61,G62))))))))</f>
      </c>
      <c r="H63" s="1024"/>
      <c r="I63" s="1025">
        <f>IF($B55="","",IF($B56="",I55,IF($B57="",I56,IF($B58="",I57,IF($B59="",I58,IF($B60="",I59,IF($B61="",I60,IF($B62="",I61,I62))))))))</f>
      </c>
      <c r="J63" s="1026">
        <f>IF($B55="","",IF($B56="",J55,IF($B57="",J56,IF($B58="",J57,IF($B59="",J58,IF($B60="",J59,IF($B61="",J60,IF($B62="",J61,J62))))))))</f>
      </c>
      <c r="K63" s="1027"/>
      <c r="L63" s="801"/>
      <c r="M63" s="708"/>
      <c r="N63" s="709">
        <f>IF($B55="","",IF($B56="",N55,IF($B57="",N56,IF($B58="",N57,IF($B59="",N58,IF($B60="",N59,IF($B61="",N60,IF($B62="",N61,N62))))))))</f>
      </c>
      <c r="O63" s="767"/>
      <c r="P63" s="799"/>
      <c r="Q63" s="255">
        <f>SUM(Q55:Q62)</f>
        <v>0</v>
      </c>
      <c r="R63" s="803" t="e">
        <f>Q63*3600/S63</f>
        <v>#DIV/0!</v>
      </c>
      <c r="S63" s="207">
        <f>SUM(S55:S62)</f>
        <v>0</v>
      </c>
      <c r="T63" s="469">
        <f>SUM(T55:T62)</f>
        <v>0</v>
      </c>
      <c r="U63" s="469">
        <f>SUM(U55:U62)</f>
        <v>0</v>
      </c>
      <c r="V63" s="252">
        <f>IF($B55="","",IF($B56="",$A55,IF($B57="",$A56,IF($B58="",$A57,IF($B59="",$A58,IF($B60="",$A59,IF($B61="",$A60,IF($B62="",$A61,$A62))))))))</f>
      </c>
      <c r="W63" s="208">
        <f>ROUND(SUM(W55:W62),0)</f>
        <v>0</v>
      </c>
      <c r="X63" s="257">
        <f t="shared" si="82"/>
        <v>0</v>
      </c>
      <c r="Y63" s="258">
        <f>TIMEVALUE(Y54)+TIMEVALUE(X63)</f>
        <v>0.5902777777777777</v>
      </c>
      <c r="Z63" s="410"/>
      <c r="AA63" s="414"/>
      <c r="AB63" s="586"/>
      <c r="AC63" s="587"/>
      <c r="AD63" s="415" t="e">
        <f>(AD55*$Q55+AD56*$Q56+AD57*$Q57+AD58*$Q58+AD59*$Q59+AD60*$Q60+AD61*$Q61+AD62*$Q62)/$Q63</f>
        <v>#DIV/0!</v>
      </c>
      <c r="AE63" s="554" t="e">
        <f>(AE55*$Q55+AE56*$Q56+AE57*$Q57+AE58*$Q58+AE59*$Q59+AE60*$Q60+AE61*$Q61+AE62*$Q62)/$Q63</f>
        <v>#DIV/0!</v>
      </c>
      <c r="AF63" s="554" t="e">
        <f>(AF55*$Q55+AF56*$Q56+AF57*$Q57+AF58*$Q58+AF59*$Q59+AF60*$Q60+AF61*$Q61+AF62*$Q62)/$Q63</f>
        <v>#DIV/0!</v>
      </c>
      <c r="AG63" s="254">
        <f>IF($B55="",0,IF($B56="",AG55,IF($B57="",AG56,IF($B58="",AG57,IF($B59="",AG58,IF($B60="",AG59,IF($B61="",AG60,IF($B62="",AG61,AG62))))))))</f>
        <v>0</v>
      </c>
      <c r="AH63" s="1726"/>
      <c r="AI63" s="136">
        <f>IF(TIMEVALUE(AG63)=0,0,TIMEVALUE(AG63)-TIMEVALUE(AG54)-TIMEVALUE(AH63))</f>
        <v>0</v>
      </c>
      <c r="AJ63" s="140">
        <f t="shared" si="98"/>
        <v>0</v>
      </c>
      <c r="AK63" s="415" t="e">
        <f>(AK55*$Q55+AK56*$Q56+AK57*$Q57+AK58*$Q58+AK59*$Q59+AK60*$Q60+AK61*$Q61+AK62*$Q62)/$Q63</f>
        <v>#DIV/0!</v>
      </c>
      <c r="AL63" s="415" t="e">
        <f>(AL55*$Q55+AL56*$Q56+AL57*$Q57+AL58*$Q58+AL59*$Q59+AL60*$Q60+AL61*$Q61+AL62*$Q62)/$Q63</f>
        <v>#DIV/0!</v>
      </c>
      <c r="AM63" s="382" t="e">
        <f t="shared" si="99"/>
        <v>#DIV/0!</v>
      </c>
      <c r="AN63" s="453"/>
      <c r="AO63" s="481"/>
      <c r="AP63" s="482"/>
      <c r="AQ63" s="482"/>
      <c r="AR63" s="481"/>
      <c r="AS63" s="482"/>
      <c r="AT63" s="482"/>
      <c r="AU63" s="277"/>
      <c r="AV63" s="75"/>
      <c r="AW63" s="57"/>
      <c r="AX63" s="733"/>
    </row>
    <row r="64" spans="1:139" ht="12.75" customHeight="1">
      <c r="A64" s="1013" t="s">
        <v>78</v>
      </c>
      <c r="B64" s="1655"/>
      <c r="C64" s="1657"/>
      <c r="D64" s="1670"/>
      <c r="E64" s="805">
        <f aca="true" t="shared" si="142" ref="E64:E71">IF(C64="","",X64)</f>
      </c>
      <c r="F64" s="1676"/>
      <c r="G64" s="1684"/>
      <c r="H64" s="1698"/>
      <c r="I64" s="1679"/>
      <c r="J64" s="1687"/>
      <c r="K64" s="1667"/>
      <c r="L64" s="800">
        <f t="shared" si="13"/>
      </c>
      <c r="M64" s="1692"/>
      <c r="N64" s="707">
        <f aca="true" t="shared" si="143" ref="N64:N71">IF(K64=0,0,IF(AU64&gt;360,AU64-360,IF(AU64&lt;0,AU64+360,AU64)))</f>
        <v>0</v>
      </c>
      <c r="O64" s="710">
        <f aca="true" t="shared" si="144" ref="O64:O71">IF(K64=0,0,ABS(IF(ABS(N64-N63)&lt;180.1,ABS(N64-N63),(IF(N64-N63&gt;180,(360+N63-N64),(360+N64-N63))))))</f>
        <v>0</v>
      </c>
      <c r="P64" s="799">
        <f t="shared" si="19"/>
        <v>0</v>
      </c>
      <c r="Q64" s="1695"/>
      <c r="R64" s="802">
        <f aca="true" t="shared" si="145" ref="R64:R71">IF(A64="SLOW",$J$5,$J$4)</f>
        <v>10</v>
      </c>
      <c r="S64" s="97">
        <f t="shared" si="78"/>
        <v>0</v>
      </c>
      <c r="T64" s="765">
        <f aca="true" t="shared" si="146" ref="T64:T71">IF(K64=0,0,IF(AO64&lt;0,AP64,AQ64))</f>
        <v>0</v>
      </c>
      <c r="U64" s="467">
        <f aca="true" t="shared" si="147" ref="U64:U71">ROUND(AF64*Q64,0)</f>
        <v>0</v>
      </c>
      <c r="V64" s="31">
        <f>IF($B64="",0,IF($A64=$A62,0,IF($A64=V63,0,(IF($A64="SLOW",P$3,P$4)))))</f>
        <v>0</v>
      </c>
      <c r="W64" s="105">
        <f aca="true" t="shared" si="148" ref="W64:W71">ROUND(S64+T64+U64+V64,0)</f>
        <v>0</v>
      </c>
      <c r="X64" s="23">
        <f t="shared" si="82"/>
        <v>0</v>
      </c>
      <c r="Y64" s="32">
        <f aca="true" t="shared" si="149" ref="Y64:Y71">IF(W64=0,0,TIMEVALUE(Y63)+TIMEVALUE(X64))</f>
        <v>0</v>
      </c>
      <c r="Z64" s="409">
        <f aca="true" t="shared" si="150" ref="Z64:Z80">IF(Y64=0,0,AVERAGE(Y64,Y63))</f>
        <v>0</v>
      </c>
      <c r="AA64" s="171">
        <f>B64</f>
        <v>0</v>
      </c>
      <c r="AB64" s="1744"/>
      <c r="AC64" s="1745"/>
      <c r="AD64" s="48">
        <f aca="true" t="shared" si="151" ref="AD64:AD71">(AC64*COS((AB64-K64)/57.29))+SQRT((AC64*COS((AB64-K64)/57.29))*(AC64*COS((AB64-K64)/57.29))-(AC64*AC64)+(R64*R64))</f>
        <v>10</v>
      </c>
      <c r="AE64" s="29">
        <f t="shared" si="97"/>
        <v>360</v>
      </c>
      <c r="AF64" s="31">
        <f aca="true" t="shared" si="152" ref="AF64:AF71">AE64-(3600/R64)</f>
        <v>0</v>
      </c>
      <c r="AG64" s="1727"/>
      <c r="AH64" s="836"/>
      <c r="AI64" s="25">
        <f aca="true" t="shared" si="153" ref="AI64:AI71">IF(TIMEVALUE(AG64)=0,0,TIMEVALUE(AG64)-TIMEVALUE(AG63)-TIMEVALUE(AH64))</f>
        <v>0</v>
      </c>
      <c r="AJ64" s="24">
        <f t="shared" si="98"/>
        <v>0</v>
      </c>
      <c r="AK64" s="379">
        <f t="shared" si="15"/>
        <v>0</v>
      </c>
      <c r="AL64" s="380">
        <f aca="true" t="shared" si="154" ref="AL64:AL71">IF(A64="SLOW",AD64-$J$5,AD64-$J$4)</f>
        <v>0</v>
      </c>
      <c r="AM64" s="134" t="e">
        <f t="shared" si="99"/>
        <v>#DIV/0!</v>
      </c>
      <c r="AN64" s="62"/>
      <c r="AO64" s="474">
        <f aca="true" t="shared" si="155" ref="AO64:AO71">IF(K64=0,0,IF(ABS(N64-N63)&gt;180,IF(N64&gt;N63,N64-N63-360,N64-N63+360),N64-N63))</f>
        <v>0</v>
      </c>
      <c r="AP64" s="473">
        <f aca="true" t="shared" si="156" ref="AP64:AP71">ROUND(IF(AO64=0,0,(ABS(AO64)*(1/$R$4+0.03333)-(57.3/$R$4)*SIN(ABS(AO64/57.3)))),0)</f>
        <v>0</v>
      </c>
      <c r="AQ64" s="473">
        <f aca="true" t="shared" si="157" ref="AQ64:AQ71">ROUND(IF(AO64=0,0,(ABS(AO64)*(1/$S$4+0.03333)-(57.3/$S$4)*SIN(ABS(AO64/57.3)))),0)</f>
        <v>0</v>
      </c>
      <c r="AR64" s="474">
        <f aca="true" t="shared" si="158" ref="AR64:AR71">IF(K64="",0,((32.3*$R64/$R$4)*(1-COS(ABS(AO64)/57.3))+2.252*$R64*SIN(ABS(AO64)/57.3))/(2025*TAN($Q64/57.3)))</f>
        <v>0</v>
      </c>
      <c r="AS64" s="474">
        <f aca="true" t="shared" si="159" ref="AS64:AS71">IF(K64="",0,((32.3*$R64/$S$4)*(1-COS(ABS(AO64)/57.3))+2.252*$R64*SIN(ABS(AO64)/57.3))/(2025*TAN($Q64/57.3)))</f>
        <v>0</v>
      </c>
      <c r="AT64" s="475"/>
      <c r="AU64" s="246">
        <f aca="true" t="shared" si="160" ref="AU64:AU71">ROUND(K64-57.29*ASIN(AC64/R64*SIN((AB64-K64)/57.29))+$R$3+M64,0)</f>
        <v>0</v>
      </c>
      <c r="AV64" s="248">
        <f>IF(K62&lt;&gt;0,K62,IF(K61&lt;&gt;0,K61,IF(K60&lt;&gt;0,K60,IF(K59&lt;&gt;0,K59,IF(K58&lt;&gt;0,K58,IF(K57&lt;&gt;0,K57,IF(K56&lt;&gt;0,K56,K55)))))))</f>
        <v>0</v>
      </c>
      <c r="AW64" s="49"/>
      <c r="AX64" s="107"/>
      <c r="AY64" s="2"/>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row>
    <row r="65" spans="1:139" s="53" customFormat="1" ht="12.75" customHeight="1">
      <c r="A65" s="1018" t="s">
        <v>78</v>
      </c>
      <c r="B65" s="1655"/>
      <c r="C65" s="1657"/>
      <c r="D65" s="1670"/>
      <c r="E65" s="805">
        <f t="shared" si="142"/>
      </c>
      <c r="F65" s="1682"/>
      <c r="G65" s="1684"/>
      <c r="H65" s="1698"/>
      <c r="I65" s="1679"/>
      <c r="J65" s="1687"/>
      <c r="K65" s="1667"/>
      <c r="L65" s="800">
        <f t="shared" si="13"/>
      </c>
      <c r="M65" s="1693"/>
      <c r="N65" s="707">
        <f t="shared" si="143"/>
        <v>0</v>
      </c>
      <c r="O65" s="710">
        <f t="shared" si="144"/>
        <v>0</v>
      </c>
      <c r="P65" s="799">
        <f t="shared" si="19"/>
        <v>0</v>
      </c>
      <c r="Q65" s="1695"/>
      <c r="R65" s="802">
        <f t="shared" si="145"/>
        <v>10</v>
      </c>
      <c r="S65" s="97">
        <f t="shared" si="78"/>
        <v>0</v>
      </c>
      <c r="T65" s="765">
        <f t="shared" si="146"/>
        <v>0</v>
      </c>
      <c r="U65" s="467">
        <f t="shared" si="147"/>
        <v>0</v>
      </c>
      <c r="V65" s="31">
        <f aca="true" t="shared" si="161" ref="V65:V71">IF(B65="",0,IF(A65=A64,0,IF(A65="SLOW",P$3,P$4)))</f>
        <v>0</v>
      </c>
      <c r="W65" s="105">
        <f t="shared" si="148"/>
        <v>0</v>
      </c>
      <c r="X65" s="23">
        <f t="shared" si="82"/>
        <v>0</v>
      </c>
      <c r="Y65" s="32">
        <f t="shared" si="149"/>
        <v>0</v>
      </c>
      <c r="Z65" s="409">
        <f t="shared" si="150"/>
        <v>0</v>
      </c>
      <c r="AA65" s="171">
        <f>B65</f>
        <v>0</v>
      </c>
      <c r="AB65" s="1739"/>
      <c r="AC65" s="1738"/>
      <c r="AD65" s="48">
        <f t="shared" si="151"/>
        <v>10</v>
      </c>
      <c r="AE65" s="29">
        <f t="shared" si="97"/>
        <v>360</v>
      </c>
      <c r="AF65" s="31">
        <f t="shared" si="152"/>
        <v>0</v>
      </c>
      <c r="AG65" s="1727"/>
      <c r="AH65" s="836"/>
      <c r="AI65" s="25">
        <f t="shared" si="153"/>
        <v>0</v>
      </c>
      <c r="AJ65" s="24">
        <f t="shared" si="98"/>
        <v>0</v>
      </c>
      <c r="AK65" s="379">
        <f t="shared" si="15"/>
        <v>0</v>
      </c>
      <c r="AL65" s="380">
        <f t="shared" si="154"/>
        <v>0</v>
      </c>
      <c r="AM65" s="134" t="e">
        <f t="shared" si="99"/>
        <v>#DIV/0!</v>
      </c>
      <c r="AN65" s="62"/>
      <c r="AO65" s="474">
        <f t="shared" si="155"/>
        <v>0</v>
      </c>
      <c r="AP65" s="473">
        <f t="shared" si="156"/>
        <v>0</v>
      </c>
      <c r="AQ65" s="473">
        <f t="shared" si="157"/>
        <v>0</v>
      </c>
      <c r="AR65" s="474">
        <f t="shared" si="158"/>
        <v>0</v>
      </c>
      <c r="AS65" s="474">
        <f t="shared" si="159"/>
        <v>0</v>
      </c>
      <c r="AT65" s="475"/>
      <c r="AU65" s="246">
        <f t="shared" si="160"/>
        <v>0</v>
      </c>
      <c r="AV65" s="70"/>
      <c r="AW65" s="49"/>
      <c r="AX65" s="217"/>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c r="CO65" s="211"/>
      <c r="CP65" s="211"/>
      <c r="CQ65" s="211"/>
      <c r="CR65" s="211"/>
      <c r="CS65" s="211"/>
      <c r="CT65" s="211"/>
      <c r="CU65" s="211"/>
      <c r="CV65" s="211"/>
      <c r="CW65" s="211"/>
      <c r="CX65" s="211"/>
      <c r="CY65" s="211"/>
      <c r="CZ65" s="211"/>
      <c r="DA65" s="211"/>
      <c r="DB65" s="211"/>
      <c r="DC65" s="211"/>
      <c r="DD65" s="211"/>
      <c r="DE65" s="211"/>
      <c r="DF65" s="211"/>
      <c r="DG65" s="211"/>
      <c r="DH65" s="211"/>
      <c r="DI65" s="211"/>
      <c r="DJ65" s="211"/>
      <c r="DK65" s="211"/>
      <c r="DL65" s="211"/>
      <c r="DM65" s="211"/>
      <c r="DN65" s="211"/>
      <c r="DO65" s="211"/>
      <c r="DP65" s="211"/>
      <c r="DQ65" s="211"/>
      <c r="DR65" s="211"/>
      <c r="DS65" s="211"/>
      <c r="DT65" s="211"/>
      <c r="DU65" s="211"/>
      <c r="DV65" s="211"/>
      <c r="DW65" s="211"/>
      <c r="DX65" s="211"/>
      <c r="DY65" s="211"/>
      <c r="DZ65" s="211"/>
      <c r="EA65" s="211"/>
      <c r="EB65" s="211"/>
      <c r="EC65" s="211"/>
      <c r="ED65" s="211"/>
      <c r="EE65" s="211"/>
      <c r="EF65" s="211"/>
      <c r="EG65" s="211"/>
      <c r="EH65" s="211"/>
      <c r="EI65" s="211"/>
    </row>
    <row r="66" spans="1:139" ht="12.75" customHeight="1">
      <c r="A66" s="1016" t="s">
        <v>78</v>
      </c>
      <c r="B66" s="1655"/>
      <c r="C66" s="1656"/>
      <c r="D66" s="1669"/>
      <c r="E66" s="805">
        <f t="shared" si="142"/>
      </c>
      <c r="F66" s="1682"/>
      <c r="G66" s="1684"/>
      <c r="H66" s="1698"/>
      <c r="I66" s="1679"/>
      <c r="J66" s="1688"/>
      <c r="K66" s="1667"/>
      <c r="L66" s="800">
        <f t="shared" si="13"/>
      </c>
      <c r="M66" s="1693"/>
      <c r="N66" s="707">
        <f t="shared" si="143"/>
        <v>0</v>
      </c>
      <c r="O66" s="710">
        <f t="shared" si="144"/>
        <v>0</v>
      </c>
      <c r="P66" s="799">
        <f t="shared" si="19"/>
        <v>0</v>
      </c>
      <c r="Q66" s="1695"/>
      <c r="R66" s="802">
        <f t="shared" si="145"/>
        <v>10</v>
      </c>
      <c r="S66" s="97">
        <f t="shared" si="78"/>
        <v>0</v>
      </c>
      <c r="T66" s="765">
        <f t="shared" si="146"/>
        <v>0</v>
      </c>
      <c r="U66" s="467">
        <f t="shared" si="147"/>
        <v>0</v>
      </c>
      <c r="V66" s="31">
        <f t="shared" si="161"/>
        <v>0</v>
      </c>
      <c r="W66" s="105">
        <f t="shared" si="148"/>
        <v>0</v>
      </c>
      <c r="X66" s="23">
        <f t="shared" si="82"/>
        <v>0</v>
      </c>
      <c r="Y66" s="32">
        <f t="shared" si="149"/>
        <v>0</v>
      </c>
      <c r="Z66" s="409">
        <f t="shared" si="150"/>
        <v>0</v>
      </c>
      <c r="AA66" s="171">
        <f aca="true" t="shared" si="162" ref="AA66:AA71">B66</f>
        <v>0</v>
      </c>
      <c r="AB66" s="1739"/>
      <c r="AC66" s="1738"/>
      <c r="AD66" s="48">
        <f t="shared" si="151"/>
        <v>10</v>
      </c>
      <c r="AE66" s="29">
        <f t="shared" si="97"/>
        <v>360</v>
      </c>
      <c r="AF66" s="31">
        <f t="shared" si="152"/>
        <v>0</v>
      </c>
      <c r="AG66" s="1728"/>
      <c r="AH66" s="836"/>
      <c r="AI66" s="25">
        <f t="shared" si="153"/>
        <v>0</v>
      </c>
      <c r="AJ66" s="24">
        <f t="shared" si="98"/>
        <v>0</v>
      </c>
      <c r="AK66" s="379">
        <f t="shared" si="15"/>
        <v>0</v>
      </c>
      <c r="AL66" s="88">
        <f t="shared" si="154"/>
        <v>0</v>
      </c>
      <c r="AM66" s="134" t="e">
        <f t="shared" si="99"/>
        <v>#DIV/0!</v>
      </c>
      <c r="AN66" s="62"/>
      <c r="AO66" s="474">
        <f t="shared" si="155"/>
        <v>0</v>
      </c>
      <c r="AP66" s="473">
        <f t="shared" si="156"/>
        <v>0</v>
      </c>
      <c r="AQ66" s="473">
        <f t="shared" si="157"/>
        <v>0</v>
      </c>
      <c r="AR66" s="474">
        <f t="shared" si="158"/>
        <v>0</v>
      </c>
      <c r="AS66" s="474">
        <f t="shared" si="159"/>
        <v>0</v>
      </c>
      <c r="AT66" s="475"/>
      <c r="AU66" s="246">
        <f t="shared" si="160"/>
        <v>0</v>
      </c>
      <c r="AV66" s="70"/>
      <c r="AW66" s="49"/>
      <c r="AX66" s="104"/>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row>
    <row r="67" spans="1:139" s="249" customFormat="1" ht="12.75" customHeight="1">
      <c r="A67" s="1018" t="s">
        <v>78</v>
      </c>
      <c r="B67" s="1655"/>
      <c r="C67" s="1656"/>
      <c r="D67" s="1669"/>
      <c r="E67" s="805">
        <f t="shared" si="142"/>
      </c>
      <c r="F67" s="1682"/>
      <c r="G67" s="1684"/>
      <c r="H67" s="1698"/>
      <c r="I67" s="1679"/>
      <c r="J67" s="1688"/>
      <c r="K67" s="1667"/>
      <c r="L67" s="800">
        <f t="shared" si="13"/>
      </c>
      <c r="M67" s="1693"/>
      <c r="N67" s="707">
        <f t="shared" si="143"/>
        <v>0</v>
      </c>
      <c r="O67" s="710">
        <f t="shared" si="144"/>
        <v>0</v>
      </c>
      <c r="P67" s="799">
        <f t="shared" si="19"/>
        <v>0</v>
      </c>
      <c r="Q67" s="1695"/>
      <c r="R67" s="802">
        <f t="shared" si="145"/>
        <v>10</v>
      </c>
      <c r="S67" s="97">
        <f t="shared" si="78"/>
        <v>0</v>
      </c>
      <c r="T67" s="765">
        <f t="shared" si="146"/>
        <v>0</v>
      </c>
      <c r="U67" s="470">
        <f t="shared" si="147"/>
        <v>0</v>
      </c>
      <c r="V67" s="31">
        <f t="shared" si="161"/>
        <v>0</v>
      </c>
      <c r="W67" s="105">
        <f t="shared" si="148"/>
        <v>0</v>
      </c>
      <c r="X67" s="23">
        <f t="shared" si="82"/>
        <v>0</v>
      </c>
      <c r="Y67" s="32">
        <f t="shared" si="149"/>
        <v>0</v>
      </c>
      <c r="Z67" s="409">
        <f t="shared" si="150"/>
        <v>0</v>
      </c>
      <c r="AA67" s="171">
        <f t="shared" si="162"/>
        <v>0</v>
      </c>
      <c r="AB67" s="1739"/>
      <c r="AC67" s="1738"/>
      <c r="AD67" s="48">
        <f t="shared" si="151"/>
        <v>10</v>
      </c>
      <c r="AE67" s="29">
        <f t="shared" si="97"/>
        <v>360</v>
      </c>
      <c r="AF67" s="31">
        <f t="shared" si="152"/>
        <v>0</v>
      </c>
      <c r="AG67" s="1743"/>
      <c r="AH67" s="840"/>
      <c r="AI67" s="25">
        <f t="shared" si="153"/>
        <v>0</v>
      </c>
      <c r="AJ67" s="24">
        <f t="shared" si="98"/>
        <v>0</v>
      </c>
      <c r="AK67" s="379">
        <f t="shared" si="15"/>
        <v>0</v>
      </c>
      <c r="AL67" s="88">
        <f t="shared" si="154"/>
        <v>0</v>
      </c>
      <c r="AM67" s="435" t="e">
        <f t="shared" si="99"/>
        <v>#DIV/0!</v>
      </c>
      <c r="AN67" s="452"/>
      <c r="AO67" s="474">
        <f t="shared" si="155"/>
        <v>0</v>
      </c>
      <c r="AP67" s="473">
        <f t="shared" si="156"/>
        <v>0</v>
      </c>
      <c r="AQ67" s="473">
        <f t="shared" si="157"/>
        <v>0</v>
      </c>
      <c r="AR67" s="474">
        <f t="shared" si="158"/>
        <v>0</v>
      </c>
      <c r="AS67" s="474">
        <f t="shared" si="159"/>
        <v>0</v>
      </c>
      <c r="AT67" s="475"/>
      <c r="AU67" s="431">
        <f t="shared" si="160"/>
        <v>0</v>
      </c>
      <c r="AV67" s="250"/>
      <c r="AW67" s="251"/>
      <c r="AX67" s="271"/>
      <c r="AY67" s="268"/>
      <c r="AZ67" s="268"/>
      <c r="BA67" s="268"/>
      <c r="BB67" s="268"/>
      <c r="BC67" s="268"/>
      <c r="BD67" s="268"/>
      <c r="BE67" s="268"/>
      <c r="BF67" s="268"/>
      <c r="BG67" s="268"/>
      <c r="BH67" s="268"/>
      <c r="BI67" s="268"/>
      <c r="BJ67" s="268"/>
      <c r="BK67" s="268"/>
      <c r="BL67" s="268"/>
      <c r="BM67" s="268"/>
      <c r="BN67" s="268"/>
      <c r="BO67" s="268"/>
      <c r="BP67" s="268"/>
      <c r="BQ67" s="268"/>
      <c r="BR67" s="268"/>
      <c r="BS67" s="268"/>
      <c r="BT67" s="268"/>
      <c r="BU67" s="268"/>
      <c r="BV67" s="268"/>
      <c r="BW67" s="268"/>
      <c r="BX67" s="268"/>
      <c r="BY67" s="268"/>
      <c r="BZ67" s="268"/>
      <c r="CA67" s="268"/>
      <c r="CB67" s="268"/>
      <c r="CC67" s="268"/>
      <c r="CD67" s="268"/>
      <c r="CE67" s="268"/>
      <c r="CF67" s="268"/>
      <c r="CG67" s="268"/>
      <c r="CH67" s="268"/>
      <c r="CI67" s="268"/>
      <c r="CJ67" s="268"/>
      <c r="CK67" s="268"/>
      <c r="CL67" s="268"/>
      <c r="CM67" s="268"/>
      <c r="CN67" s="268"/>
      <c r="CO67" s="268"/>
      <c r="CP67" s="268"/>
      <c r="CQ67" s="268"/>
      <c r="CR67" s="268"/>
      <c r="CS67" s="268"/>
      <c r="CT67" s="268"/>
      <c r="CU67" s="268"/>
      <c r="CV67" s="268"/>
      <c r="CW67" s="268"/>
      <c r="CX67" s="268"/>
      <c r="CY67" s="268"/>
      <c r="CZ67" s="268"/>
      <c r="DA67" s="268"/>
      <c r="DB67" s="268"/>
      <c r="DC67" s="268"/>
      <c r="DD67" s="268"/>
      <c r="DE67" s="268"/>
      <c r="DF67" s="268"/>
      <c r="DG67" s="268"/>
      <c r="DH67" s="268"/>
      <c r="DI67" s="268"/>
      <c r="DJ67" s="268"/>
      <c r="DK67" s="268"/>
      <c r="DL67" s="268"/>
      <c r="DM67" s="268"/>
      <c r="DN67" s="268"/>
      <c r="DO67" s="268"/>
      <c r="DP67" s="268"/>
      <c r="DQ67" s="268"/>
      <c r="DR67" s="268"/>
      <c r="DS67" s="268"/>
      <c r="DT67" s="268"/>
      <c r="DU67" s="268"/>
      <c r="DV67" s="268"/>
      <c r="DW67" s="268"/>
      <c r="DX67" s="268"/>
      <c r="DY67" s="268"/>
      <c r="DZ67" s="268"/>
      <c r="EA67" s="268"/>
      <c r="EB67" s="268"/>
      <c r="EC67" s="268"/>
      <c r="ED67" s="268"/>
      <c r="EE67" s="268"/>
      <c r="EF67" s="268"/>
      <c r="EG67" s="268"/>
      <c r="EH67" s="268"/>
      <c r="EI67" s="268"/>
    </row>
    <row r="68" spans="1:139" ht="12.75" customHeight="1">
      <c r="A68" s="1016" t="s">
        <v>78</v>
      </c>
      <c r="B68" s="1655"/>
      <c r="C68" s="1657"/>
      <c r="D68" s="1669"/>
      <c r="E68" s="805">
        <f t="shared" si="142"/>
      </c>
      <c r="F68" s="1682"/>
      <c r="G68" s="1684"/>
      <c r="H68" s="1698"/>
      <c r="I68" s="1679"/>
      <c r="J68" s="1684"/>
      <c r="K68" s="1667"/>
      <c r="L68" s="800">
        <f t="shared" si="13"/>
      </c>
      <c r="M68" s="1693"/>
      <c r="N68" s="707">
        <f t="shared" si="143"/>
        <v>0</v>
      </c>
      <c r="O68" s="710">
        <f t="shared" si="144"/>
        <v>0</v>
      </c>
      <c r="P68" s="799">
        <f t="shared" si="19"/>
        <v>0</v>
      </c>
      <c r="Q68" s="1695"/>
      <c r="R68" s="802">
        <f t="shared" si="145"/>
        <v>10</v>
      </c>
      <c r="S68" s="97">
        <f t="shared" si="78"/>
        <v>0</v>
      </c>
      <c r="T68" s="765">
        <f t="shared" si="146"/>
        <v>0</v>
      </c>
      <c r="U68" s="467">
        <f t="shared" si="147"/>
        <v>0</v>
      </c>
      <c r="V68" s="31">
        <f t="shared" si="161"/>
        <v>0</v>
      </c>
      <c r="W68" s="105">
        <f t="shared" si="148"/>
        <v>0</v>
      </c>
      <c r="X68" s="23">
        <f t="shared" si="82"/>
        <v>0</v>
      </c>
      <c r="Y68" s="32">
        <f t="shared" si="149"/>
        <v>0</v>
      </c>
      <c r="Z68" s="409">
        <f t="shared" si="150"/>
        <v>0</v>
      </c>
      <c r="AA68" s="171">
        <f t="shared" si="162"/>
        <v>0</v>
      </c>
      <c r="AB68" s="1739"/>
      <c r="AC68" s="1738"/>
      <c r="AD68" s="48">
        <f t="shared" si="151"/>
        <v>10</v>
      </c>
      <c r="AE68" s="29">
        <f t="shared" si="97"/>
        <v>360</v>
      </c>
      <c r="AF68" s="31">
        <f t="shared" si="152"/>
        <v>0</v>
      </c>
      <c r="AG68" s="1727"/>
      <c r="AH68" s="836"/>
      <c r="AI68" s="25">
        <f t="shared" si="153"/>
        <v>0</v>
      </c>
      <c r="AJ68" s="24">
        <f t="shared" si="98"/>
        <v>0</v>
      </c>
      <c r="AK68" s="379">
        <f t="shared" si="15"/>
        <v>0</v>
      </c>
      <c r="AL68" s="88">
        <f t="shared" si="154"/>
        <v>0</v>
      </c>
      <c r="AM68" s="134" t="e">
        <f t="shared" si="99"/>
        <v>#DIV/0!</v>
      </c>
      <c r="AN68" s="62"/>
      <c r="AO68" s="474">
        <f t="shared" si="155"/>
        <v>0</v>
      </c>
      <c r="AP68" s="473">
        <f t="shared" si="156"/>
        <v>0</v>
      </c>
      <c r="AQ68" s="473">
        <f t="shared" si="157"/>
        <v>0</v>
      </c>
      <c r="AR68" s="474">
        <f t="shared" si="158"/>
        <v>0</v>
      </c>
      <c r="AS68" s="474">
        <f t="shared" si="159"/>
        <v>0</v>
      </c>
      <c r="AT68" s="475"/>
      <c r="AU68" s="246">
        <f t="shared" si="160"/>
        <v>0</v>
      </c>
      <c r="AV68" s="70"/>
      <c r="AX68" s="104"/>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row>
    <row r="69" spans="1:139" ht="12.75" customHeight="1">
      <c r="A69" s="1016" t="s">
        <v>78</v>
      </c>
      <c r="B69" s="1655"/>
      <c r="C69" s="1657"/>
      <c r="D69" s="1669"/>
      <c r="E69" s="805">
        <f t="shared" si="142"/>
      </c>
      <c r="F69" s="1682"/>
      <c r="G69" s="1684"/>
      <c r="H69" s="1698"/>
      <c r="I69" s="1679"/>
      <c r="J69" s="1688"/>
      <c r="K69" s="1667"/>
      <c r="L69" s="800">
        <f t="shared" si="13"/>
      </c>
      <c r="M69" s="1693"/>
      <c r="N69" s="707">
        <f t="shared" si="143"/>
        <v>0</v>
      </c>
      <c r="O69" s="710">
        <f t="shared" si="144"/>
        <v>0</v>
      </c>
      <c r="P69" s="799">
        <f t="shared" si="19"/>
        <v>0</v>
      </c>
      <c r="Q69" s="1695"/>
      <c r="R69" s="802">
        <f t="shared" si="145"/>
        <v>10</v>
      </c>
      <c r="S69" s="97">
        <f t="shared" si="78"/>
        <v>0</v>
      </c>
      <c r="T69" s="765">
        <f t="shared" si="146"/>
        <v>0</v>
      </c>
      <c r="U69" s="467">
        <f t="shared" si="147"/>
        <v>0</v>
      </c>
      <c r="V69" s="31">
        <f t="shared" si="161"/>
        <v>0</v>
      </c>
      <c r="W69" s="105">
        <f t="shared" si="148"/>
        <v>0</v>
      </c>
      <c r="X69" s="54">
        <f t="shared" si="82"/>
        <v>0</v>
      </c>
      <c r="Y69" s="32">
        <f t="shared" si="149"/>
        <v>0</v>
      </c>
      <c r="Z69" s="409">
        <f t="shared" si="150"/>
        <v>0</v>
      </c>
      <c r="AA69" s="171">
        <f t="shared" si="162"/>
        <v>0</v>
      </c>
      <c r="AB69" s="1739"/>
      <c r="AC69" s="1738"/>
      <c r="AD69" s="48">
        <f t="shared" si="151"/>
        <v>10</v>
      </c>
      <c r="AE69" s="29">
        <f t="shared" si="97"/>
        <v>360</v>
      </c>
      <c r="AF69" s="31">
        <f t="shared" si="152"/>
        <v>0</v>
      </c>
      <c r="AG69" s="1729"/>
      <c r="AH69" s="840"/>
      <c r="AI69" s="25">
        <f t="shared" si="153"/>
        <v>0</v>
      </c>
      <c r="AJ69" s="24">
        <f t="shared" si="98"/>
        <v>0</v>
      </c>
      <c r="AK69" s="379">
        <f t="shared" si="15"/>
        <v>0</v>
      </c>
      <c r="AL69" s="88">
        <f t="shared" si="154"/>
        <v>0</v>
      </c>
      <c r="AM69" s="89" t="e">
        <f t="shared" si="99"/>
        <v>#DIV/0!</v>
      </c>
      <c r="AN69" s="62"/>
      <c r="AO69" s="474">
        <f t="shared" si="155"/>
        <v>0</v>
      </c>
      <c r="AP69" s="473">
        <f t="shared" si="156"/>
        <v>0</v>
      </c>
      <c r="AQ69" s="473">
        <f t="shared" si="157"/>
        <v>0</v>
      </c>
      <c r="AR69" s="474">
        <f t="shared" si="158"/>
        <v>0</v>
      </c>
      <c r="AS69" s="474">
        <f t="shared" si="159"/>
        <v>0</v>
      </c>
      <c r="AT69" s="475"/>
      <c r="AU69" s="246">
        <f t="shared" si="160"/>
        <v>0</v>
      </c>
      <c r="AV69" s="70"/>
      <c r="AX69" s="104"/>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row>
    <row r="70" spans="1:139" s="52" customFormat="1" ht="12.75" customHeight="1">
      <c r="A70" s="1016" t="s">
        <v>78</v>
      </c>
      <c r="B70" s="1655"/>
      <c r="C70" s="1657"/>
      <c r="D70" s="1669"/>
      <c r="E70" s="805">
        <f t="shared" si="142"/>
      </c>
      <c r="F70" s="1682"/>
      <c r="G70" s="1684"/>
      <c r="H70" s="1698"/>
      <c r="I70" s="1679"/>
      <c r="J70" s="1684"/>
      <c r="K70" s="1667"/>
      <c r="L70" s="800">
        <f t="shared" si="13"/>
      </c>
      <c r="M70" s="1693"/>
      <c r="N70" s="707">
        <f t="shared" si="143"/>
        <v>0</v>
      </c>
      <c r="O70" s="710">
        <f t="shared" si="144"/>
        <v>0</v>
      </c>
      <c r="P70" s="799">
        <f t="shared" si="19"/>
        <v>0</v>
      </c>
      <c r="Q70" s="1695"/>
      <c r="R70" s="802">
        <f t="shared" si="145"/>
        <v>10</v>
      </c>
      <c r="S70" s="97">
        <f t="shared" si="78"/>
        <v>0</v>
      </c>
      <c r="T70" s="765">
        <f t="shared" si="146"/>
        <v>0</v>
      </c>
      <c r="U70" s="467">
        <f t="shared" si="147"/>
        <v>0</v>
      </c>
      <c r="V70" s="31">
        <f t="shared" si="161"/>
        <v>0</v>
      </c>
      <c r="W70" s="105">
        <f t="shared" si="148"/>
        <v>0</v>
      </c>
      <c r="X70" s="23">
        <f t="shared" si="82"/>
        <v>0</v>
      </c>
      <c r="Y70" s="32">
        <f t="shared" si="149"/>
        <v>0</v>
      </c>
      <c r="Z70" s="409">
        <f t="shared" si="150"/>
        <v>0</v>
      </c>
      <c r="AA70" s="171">
        <f t="shared" si="162"/>
        <v>0</v>
      </c>
      <c r="AB70" s="1739"/>
      <c r="AC70" s="1738"/>
      <c r="AD70" s="48">
        <f t="shared" si="151"/>
        <v>10</v>
      </c>
      <c r="AE70" s="29">
        <f t="shared" si="97"/>
        <v>360</v>
      </c>
      <c r="AF70" s="31">
        <f t="shared" si="152"/>
        <v>0</v>
      </c>
      <c r="AG70" s="1728"/>
      <c r="AH70" s="836"/>
      <c r="AI70" s="25">
        <f t="shared" si="153"/>
        <v>0</v>
      </c>
      <c r="AJ70" s="24">
        <f t="shared" si="98"/>
        <v>0</v>
      </c>
      <c r="AK70" s="379">
        <f t="shared" si="15"/>
        <v>0</v>
      </c>
      <c r="AL70" s="88">
        <f t="shared" si="154"/>
        <v>0</v>
      </c>
      <c r="AM70" s="89" t="e">
        <f t="shared" si="99"/>
        <v>#DIV/0!</v>
      </c>
      <c r="AN70" s="62"/>
      <c r="AO70" s="474">
        <f t="shared" si="155"/>
        <v>0</v>
      </c>
      <c r="AP70" s="473">
        <f t="shared" si="156"/>
        <v>0</v>
      </c>
      <c r="AQ70" s="473">
        <f t="shared" si="157"/>
        <v>0</v>
      </c>
      <c r="AR70" s="474">
        <f t="shared" si="158"/>
        <v>0</v>
      </c>
      <c r="AS70" s="474">
        <f t="shared" si="159"/>
        <v>0</v>
      </c>
      <c r="AT70" s="475"/>
      <c r="AU70" s="246">
        <f t="shared" si="160"/>
        <v>0</v>
      </c>
      <c r="AV70" s="70"/>
      <c r="AW70" s="47"/>
      <c r="AX70" s="104"/>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row>
    <row r="71" spans="1:139" s="53" customFormat="1" ht="12.75" customHeight="1">
      <c r="A71" s="1016" t="s">
        <v>78</v>
      </c>
      <c r="B71" s="1655"/>
      <c r="C71" s="1672"/>
      <c r="D71" s="1673"/>
      <c r="E71" s="805">
        <f t="shared" si="142"/>
      </c>
      <c r="F71" s="1682"/>
      <c r="G71" s="1684"/>
      <c r="H71" s="1698"/>
      <c r="I71" s="1679"/>
      <c r="J71" s="1716"/>
      <c r="K71" s="1667"/>
      <c r="L71" s="800">
        <f t="shared" si="13"/>
      </c>
      <c r="M71" s="1693"/>
      <c r="N71" s="707">
        <f t="shared" si="143"/>
        <v>0</v>
      </c>
      <c r="O71" s="710">
        <f t="shared" si="144"/>
        <v>0</v>
      </c>
      <c r="P71" s="799">
        <f t="shared" si="19"/>
        <v>0</v>
      </c>
      <c r="Q71" s="1695"/>
      <c r="R71" s="802">
        <f t="shared" si="145"/>
        <v>10</v>
      </c>
      <c r="S71" s="97">
        <f t="shared" si="78"/>
        <v>0</v>
      </c>
      <c r="T71" s="765">
        <f t="shared" si="146"/>
        <v>0</v>
      </c>
      <c r="U71" s="467">
        <f t="shared" si="147"/>
        <v>0</v>
      </c>
      <c r="V71" s="31">
        <f t="shared" si="161"/>
        <v>0</v>
      </c>
      <c r="W71" s="105">
        <f t="shared" si="148"/>
        <v>0</v>
      </c>
      <c r="X71" s="23">
        <f t="shared" si="82"/>
        <v>0</v>
      </c>
      <c r="Y71" s="32">
        <f t="shared" si="149"/>
        <v>0</v>
      </c>
      <c r="Z71" s="409">
        <f t="shared" si="150"/>
        <v>0</v>
      </c>
      <c r="AA71" s="171">
        <f t="shared" si="162"/>
        <v>0</v>
      </c>
      <c r="AB71" s="1739"/>
      <c r="AC71" s="1738"/>
      <c r="AD71" s="48">
        <f t="shared" si="151"/>
        <v>10</v>
      </c>
      <c r="AE71" s="29">
        <f t="shared" si="97"/>
        <v>360</v>
      </c>
      <c r="AF71" s="31">
        <f t="shared" si="152"/>
        <v>0</v>
      </c>
      <c r="AG71" s="1728"/>
      <c r="AH71" s="836"/>
      <c r="AI71" s="25">
        <f t="shared" si="153"/>
        <v>0</v>
      </c>
      <c r="AJ71" s="24">
        <f t="shared" si="98"/>
        <v>0</v>
      </c>
      <c r="AK71" s="379">
        <f t="shared" si="15"/>
        <v>0</v>
      </c>
      <c r="AL71" s="88">
        <f t="shared" si="154"/>
        <v>0</v>
      </c>
      <c r="AM71" s="89" t="e">
        <f t="shared" si="99"/>
        <v>#DIV/0!</v>
      </c>
      <c r="AN71" s="62"/>
      <c r="AO71" s="474">
        <f t="shared" si="155"/>
        <v>0</v>
      </c>
      <c r="AP71" s="473">
        <f t="shared" si="156"/>
        <v>0</v>
      </c>
      <c r="AQ71" s="473">
        <f t="shared" si="157"/>
        <v>0</v>
      </c>
      <c r="AR71" s="474">
        <f t="shared" si="158"/>
        <v>0</v>
      </c>
      <c r="AS71" s="474">
        <f t="shared" si="159"/>
        <v>0</v>
      </c>
      <c r="AT71" s="475"/>
      <c r="AU71" s="246">
        <f t="shared" si="160"/>
        <v>0</v>
      </c>
      <c r="AV71" s="70"/>
      <c r="AW71" s="47"/>
      <c r="AX71" s="217"/>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c r="CO71" s="211"/>
      <c r="CP71" s="211"/>
      <c r="CQ71" s="211"/>
      <c r="CR71" s="211"/>
      <c r="CS71" s="211"/>
      <c r="CT71" s="211"/>
      <c r="CU71" s="211"/>
      <c r="CV71" s="211"/>
      <c r="CW71" s="211"/>
      <c r="CX71" s="211"/>
      <c r="CY71" s="211"/>
      <c r="CZ71" s="211"/>
      <c r="DA71" s="211"/>
      <c r="DB71" s="211"/>
      <c r="DC71" s="211"/>
      <c r="DD71" s="211"/>
      <c r="DE71" s="211"/>
      <c r="DF71" s="211"/>
      <c r="DG71" s="211"/>
      <c r="DH71" s="211"/>
      <c r="DI71" s="211"/>
      <c r="DJ71" s="211"/>
      <c r="DK71" s="211"/>
      <c r="DL71" s="211"/>
      <c r="DM71" s="211"/>
      <c r="DN71" s="211"/>
      <c r="DO71" s="211"/>
      <c r="DP71" s="211"/>
      <c r="DQ71" s="211"/>
      <c r="DR71" s="211"/>
      <c r="DS71" s="211"/>
      <c r="DT71" s="211"/>
      <c r="DU71" s="211"/>
      <c r="DV71" s="211"/>
      <c r="DW71" s="211"/>
      <c r="DX71" s="211"/>
      <c r="DY71" s="211"/>
      <c r="DZ71" s="211"/>
      <c r="EA71" s="211"/>
      <c r="EB71" s="211"/>
      <c r="EC71" s="211"/>
      <c r="ED71" s="211"/>
      <c r="EE71" s="211"/>
      <c r="EF71" s="211"/>
      <c r="EG71" s="211"/>
      <c r="EH71" s="211"/>
      <c r="EI71" s="211"/>
    </row>
    <row r="72" spans="1:139" s="53" customFormat="1" ht="12.75" customHeight="1" thickBot="1">
      <c r="A72" s="266">
        <v>7</v>
      </c>
      <c r="B72" s="252">
        <f>IF($B64="","",IF($B65="",B64,IF($B66="",B65,IF($B67="",B66,IF($B68="",B67,IF($B69="",B68,IF($B70="",B69,IF($B71="",B70,B71))))))))</f>
      </c>
      <c r="C72" s="253"/>
      <c r="D72" s="254">
        <f>IF($B64="","",IF($B65="",D64,IF($B66="",D65,IF($B67="",D66,IF($B68="",D67,IF($B69="",D68,IF($B70="",D69,IF($B71="",D70,D71))))))))</f>
      </c>
      <c r="E72" s="627"/>
      <c r="F72" s="1023">
        <f>IF($B64="","",IF($B65="",F64,IF($B66="",F65,IF($B67="",F66,IF($B68="",F67,IF($B69="",F68,IF($B70="",F69,IF($B71="",F70,F71))))))))</f>
      </c>
      <c r="G72" s="1024">
        <f>IF($B64="","",IF($B65="",G64,IF($B66="",G65,IF($B67="",G66,IF($B68="",G67,IF($B69="",G68,IF($B70="",G69,IF($B71="",G70,G71))))))))</f>
      </c>
      <c r="H72" s="1024"/>
      <c r="I72" s="1028">
        <f>IF($B64="","",IF($B65="",I64,IF($B66="",I65,IF($B67="",I66,IF($B68="",I67,IF($B69="",I68,IF($B70="",I69,IF($B71="",I70,I71))))))))</f>
      </c>
      <c r="J72" s="1029">
        <f>IF($B64="","",IF($B65="",J64,IF($B66="",J65,IF($B67="",J66,IF($B68="",J67,IF($B69="",J68,IF($B70="",J69,IF($B71="",J70,J71))))))))</f>
      </c>
      <c r="K72" s="1027"/>
      <c r="L72" s="801"/>
      <c r="M72" s="711"/>
      <c r="N72" s="709">
        <f>IF($B64="","",IF($B65="",N64,IF($B66="",N65,IF($B67="",N66,IF($B68="",N67,IF($B69="",N68,IF($B70="",N69,IF($B71="",N70,N71))))))))</f>
      </c>
      <c r="O72" s="767"/>
      <c r="P72" s="799"/>
      <c r="Q72" s="255">
        <f>SUM(Q64:Q71)</f>
        <v>0</v>
      </c>
      <c r="R72" s="803" t="e">
        <f>Q72*3600/S72</f>
        <v>#DIV/0!</v>
      </c>
      <c r="S72" s="207">
        <f>SUM(S64:S71)</f>
        <v>0</v>
      </c>
      <c r="T72" s="599">
        <f>SUM(T64:T71)</f>
        <v>0</v>
      </c>
      <c r="U72" s="469">
        <f>SUM(U64:U71)</f>
        <v>0</v>
      </c>
      <c r="V72" s="252">
        <f>IF($B64="","",IF($B65="",$A64,IF($B66="",$A65,IF($B67="",$A66,IF($B68="",$A67,IF($B69="",$A68,IF($B70="",$A69,IF($B71="",$A70,$A71))))))))</f>
      </c>
      <c r="W72" s="208">
        <f>ROUND(SUM(W64:W71),0)</f>
        <v>0</v>
      </c>
      <c r="X72" s="257">
        <f t="shared" si="82"/>
        <v>0</v>
      </c>
      <c r="Y72" s="258">
        <f>TIMEVALUE(Y63)+TIMEVALUE(X72)</f>
        <v>0.5902777777777777</v>
      </c>
      <c r="Z72" s="410"/>
      <c r="AA72" s="414"/>
      <c r="AB72" s="586"/>
      <c r="AC72" s="587"/>
      <c r="AD72" s="51">
        <f>AVERAGE(AD64:AD71)</f>
        <v>10</v>
      </c>
      <c r="AE72" s="16"/>
      <c r="AF72" s="15"/>
      <c r="AG72" s="254">
        <f>IF($B64="",0,IF($B65="",AG64,IF($B66="",AG65,IF($B67="",AG66,IF($B68="",AG67,IF($B69="",AG68,IF($B70="",AG69,IF($B71="",AG70,AG71))))))))</f>
        <v>0</v>
      </c>
      <c r="AH72" s="1726"/>
      <c r="AI72" s="136">
        <f>IF(TIMEVALUE(AG72)=0,0,TIMEVALUE(AG72)-TIMEVALUE(AG63)-TIMEVALUE(AH72))</f>
        <v>0</v>
      </c>
      <c r="AJ72" s="140">
        <f t="shared" si="98"/>
        <v>0</v>
      </c>
      <c r="AK72" s="415" t="e">
        <f>(AK64*$Q64+AK65*$Q65+AK66*$Q66+AK67*$Q67+AK68*$Q68+AK69*$Q69+AK70*$Q70+AK71*$Q71)/$Q72</f>
        <v>#DIV/0!</v>
      </c>
      <c r="AL72" s="415" t="e">
        <f>(AL64*$Q64+AL65*$Q65+AL66*$Q66+AL67*$Q67+AL68*$Q68+AL69*$Q69+AL70*$Q70+AL71*$Q71)/$Q72</f>
        <v>#DIV/0!</v>
      </c>
      <c r="AM72" s="90" t="e">
        <f t="shared" si="99"/>
        <v>#DIV/0!</v>
      </c>
      <c r="AN72" s="453"/>
      <c r="AO72" s="481"/>
      <c r="AP72" s="482"/>
      <c r="AQ72" s="482"/>
      <c r="AR72" s="481"/>
      <c r="AS72" s="482"/>
      <c r="AT72" s="482"/>
      <c r="AU72" s="277"/>
      <c r="AV72" s="75"/>
      <c r="AW72" s="57"/>
      <c r="AX72" s="217"/>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A72" s="211"/>
      <c r="CB72" s="211"/>
      <c r="CC72" s="211"/>
      <c r="CD72" s="211"/>
      <c r="CE72" s="211"/>
      <c r="CF72" s="211"/>
      <c r="CG72" s="211"/>
      <c r="CH72" s="211"/>
      <c r="CI72" s="211"/>
      <c r="CJ72" s="211"/>
      <c r="CK72" s="211"/>
      <c r="CL72" s="211"/>
      <c r="CM72" s="211"/>
      <c r="CN72" s="211"/>
      <c r="CO72" s="211"/>
      <c r="CP72" s="211"/>
      <c r="CQ72" s="211"/>
      <c r="CR72" s="211"/>
      <c r="CS72" s="211"/>
      <c r="CT72" s="211"/>
      <c r="CU72" s="211"/>
      <c r="CV72" s="211"/>
      <c r="CW72" s="211"/>
      <c r="CX72" s="211"/>
      <c r="CY72" s="211"/>
      <c r="CZ72" s="211"/>
      <c r="DA72" s="211"/>
      <c r="DB72" s="211"/>
      <c r="DC72" s="211"/>
      <c r="DD72" s="211"/>
      <c r="DE72" s="211"/>
      <c r="DF72" s="211"/>
      <c r="DG72" s="211"/>
      <c r="DH72" s="211"/>
      <c r="DI72" s="211"/>
      <c r="DJ72" s="211"/>
      <c r="DK72" s="211"/>
      <c r="DL72" s="211"/>
      <c r="DM72" s="211"/>
      <c r="DN72" s="211"/>
      <c r="DO72" s="211"/>
      <c r="DP72" s="211"/>
      <c r="DQ72" s="211"/>
      <c r="DR72" s="211"/>
      <c r="DS72" s="211"/>
      <c r="DT72" s="211"/>
      <c r="DU72" s="211"/>
      <c r="DV72" s="211"/>
      <c r="DW72" s="211"/>
      <c r="DX72" s="211"/>
      <c r="DY72" s="211"/>
      <c r="DZ72" s="211"/>
      <c r="EA72" s="211"/>
      <c r="EB72" s="211"/>
      <c r="EC72" s="211"/>
      <c r="ED72" s="211"/>
      <c r="EE72" s="211"/>
      <c r="EF72" s="211"/>
      <c r="EG72" s="211"/>
      <c r="EH72" s="211"/>
      <c r="EI72" s="211"/>
    </row>
    <row r="73" spans="1:139" ht="12.75" customHeight="1">
      <c r="A73" s="1016" t="s">
        <v>78</v>
      </c>
      <c r="B73" s="1655"/>
      <c r="C73" s="1674"/>
      <c r="D73" s="1675"/>
      <c r="E73" s="805">
        <f aca="true" t="shared" si="163" ref="E73:E80">IF(C73="","",X73)</f>
      </c>
      <c r="F73" s="1676"/>
      <c r="G73" s="1684"/>
      <c r="H73" s="1698"/>
      <c r="I73" s="1679"/>
      <c r="J73" s="1684"/>
      <c r="K73" s="1667"/>
      <c r="L73" s="800">
        <f t="shared" si="13"/>
      </c>
      <c r="M73" s="1693"/>
      <c r="N73" s="707">
        <f aca="true" t="shared" si="164" ref="N73:N80">IF(K73=0,0,IF(AU73&gt;360,AU73-360,IF(AU73&lt;0,AU73+360,AU73)))</f>
        <v>0</v>
      </c>
      <c r="O73" s="710">
        <f aca="true" t="shared" si="165" ref="O73:O80">IF(K73=0,0,ABS(IF(ABS(N73-N72)&lt;180.1,ABS(N73-N72),(IF(N73-N72&gt;180,(360+N72-N73),(360+N73-N72))))))</f>
        <v>0</v>
      </c>
      <c r="P73" s="799">
        <f t="shared" si="19"/>
        <v>0</v>
      </c>
      <c r="Q73" s="1695"/>
      <c r="R73" s="802">
        <f aca="true" t="shared" si="166" ref="R73:R80">IF(A73="SLOW",$J$5,$J$4)</f>
        <v>10</v>
      </c>
      <c r="S73" s="97">
        <f aca="true" t="shared" si="167" ref="S73:S80">ROUND(Q73*3600/R73,0)</f>
        <v>0</v>
      </c>
      <c r="T73" s="765">
        <f aca="true" t="shared" si="168" ref="T73:T79">IF(K73=0,0,IF(AO73&lt;0,AP73,AQ73))</f>
        <v>0</v>
      </c>
      <c r="U73" s="467">
        <f aca="true" t="shared" si="169" ref="U73:U80">ROUND(AF73*Q73,0)</f>
        <v>0</v>
      </c>
      <c r="V73" s="31">
        <f>IF($B73="",0,IF($A73=$A71,0,IF($A73=V72,0,(IF($A73="SLOW",P$3,P$4)))))</f>
        <v>0</v>
      </c>
      <c r="W73" s="105">
        <f aca="true" t="shared" si="170" ref="W73:W80">ROUND(S73+T73+U73+V73,0)</f>
        <v>0</v>
      </c>
      <c r="X73" s="23">
        <f t="shared" si="82"/>
        <v>0</v>
      </c>
      <c r="Y73" s="32">
        <f aca="true" t="shared" si="171" ref="Y73:Y80">IF(W73=0,0,TIMEVALUE(Y72)+TIMEVALUE(X73))</f>
        <v>0</v>
      </c>
      <c r="Z73" s="409">
        <f t="shared" si="150"/>
        <v>0</v>
      </c>
      <c r="AA73" s="171">
        <f>B73</f>
        <v>0</v>
      </c>
      <c r="AB73" s="1739"/>
      <c r="AC73" s="1738"/>
      <c r="AD73" s="48">
        <f aca="true" t="shared" si="172" ref="AD73:AD80">(AC73*COS((AB73-K73)/57.29))+SQRT((AC73*COS((AB73-K73)/57.29))*(AC73*COS((AB73-K73)/57.29))-(AC73*AC73)+(R73*R73))</f>
        <v>10</v>
      </c>
      <c r="AE73" s="29">
        <f t="shared" si="97"/>
        <v>360</v>
      </c>
      <c r="AF73" s="31">
        <f aca="true" t="shared" si="173" ref="AF73:AF80">AE73-(3600/R73)</f>
        <v>0</v>
      </c>
      <c r="AG73" s="1727"/>
      <c r="AH73" s="836"/>
      <c r="AI73" s="25">
        <f aca="true" t="shared" si="174" ref="AI73:AI80">IF(TIMEVALUE(AG73)=0,0,TIMEVALUE(AG73)-TIMEVALUE(AG72)-TIMEVALUE(AH73))</f>
        <v>0</v>
      </c>
      <c r="AJ73" s="24">
        <f t="shared" si="98"/>
        <v>0</v>
      </c>
      <c r="AK73" s="379">
        <f t="shared" si="15"/>
        <v>0</v>
      </c>
      <c r="AL73" s="88">
        <f aca="true" t="shared" si="175" ref="AL73:AL80">IF(A73="SLOW",AD73-$J$5,AD73-$J$4)</f>
        <v>0</v>
      </c>
      <c r="AM73" s="134" t="e">
        <f t="shared" si="99"/>
        <v>#DIV/0!</v>
      </c>
      <c r="AN73" s="62"/>
      <c r="AO73" s="474">
        <f aca="true" t="shared" si="176" ref="AO73:AO80">IF(K73=0,0,IF(ABS(N73-N72)&gt;180,IF(N73&gt;N72,N73-N72-360,N73-N72+360),N73-N72))</f>
        <v>0</v>
      </c>
      <c r="AP73" s="473">
        <f aca="true" t="shared" si="177" ref="AP73:AP80">ROUND(IF(AO73=0,0,(ABS(AO73)*(1/$R$4+0.03333)-(57.3/$R$4)*SIN(ABS(AO73/57.3)))),0)</f>
        <v>0</v>
      </c>
      <c r="AQ73" s="473">
        <f aca="true" t="shared" si="178" ref="AQ73:AQ80">ROUND(IF(AO73=0,0,(ABS(AO73)*(1/$S$4+0.03333)-(57.3/$S$4)*SIN(ABS(AO73/57.3)))),0)</f>
        <v>0</v>
      </c>
      <c r="AR73" s="474">
        <f aca="true" t="shared" si="179" ref="AR73:AR80">IF(K73="",0,((32.3*$R73/$R$4)*(1-COS(ABS(AO73)/57.3))+2.252*$R73*SIN(ABS(AO73)/57.3))/(2025*TAN($Q73/57.3)))</f>
        <v>0</v>
      </c>
      <c r="AS73" s="474">
        <f aca="true" t="shared" si="180" ref="AS73:AS80">IF(K73="",0,((32.3*$R73/$S$4)*(1-COS(ABS(AO73)/57.3))+2.252*$R73*SIN(ABS(AO73)/57.3))/(2025*TAN($Q73/57.3)))</f>
        <v>0</v>
      </c>
      <c r="AT73" s="475"/>
      <c r="AU73" s="246">
        <f aca="true" t="shared" si="181" ref="AU73:AU80">ROUND(K73-57.29*ASIN(AC73/R73*SIN((AB73-K73)/57.29))+$R$3+M73,0)</f>
        <v>0</v>
      </c>
      <c r="AV73" s="248">
        <f>IF(K71&lt;&gt;0,K71,IF(K70&lt;&gt;0,K70,IF(K69&lt;&gt;0,K69,IF(K68&lt;&gt;0,K68,IF(K67&lt;&gt;0,K67,IF(K66&lt;&gt;0,K66,IF(K65&lt;&gt;0,K65,K64)))))))</f>
        <v>0</v>
      </c>
      <c r="AW73" s="49"/>
      <c r="AX73" s="107"/>
      <c r="AY73" s="2"/>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row>
    <row r="74" spans="1:139" s="53" customFormat="1" ht="12.75" customHeight="1">
      <c r="A74" s="1016" t="s">
        <v>78</v>
      </c>
      <c r="B74" s="1655"/>
      <c r="C74" s="1657"/>
      <c r="D74" s="1670"/>
      <c r="E74" s="805">
        <f t="shared" si="163"/>
      </c>
      <c r="F74" s="1676"/>
      <c r="G74" s="1684"/>
      <c r="H74" s="1698"/>
      <c r="I74" s="1679"/>
      <c r="J74" s="1688"/>
      <c r="K74" s="1667"/>
      <c r="L74" s="800">
        <f t="shared" si="13"/>
      </c>
      <c r="M74" s="1693"/>
      <c r="N74" s="707">
        <f t="shared" si="164"/>
        <v>0</v>
      </c>
      <c r="O74" s="710">
        <f t="shared" si="165"/>
        <v>0</v>
      </c>
      <c r="P74" s="799">
        <f t="shared" si="19"/>
        <v>0</v>
      </c>
      <c r="Q74" s="1695"/>
      <c r="R74" s="802">
        <f t="shared" si="166"/>
        <v>10</v>
      </c>
      <c r="S74" s="97">
        <f t="shared" si="167"/>
        <v>0</v>
      </c>
      <c r="T74" s="765">
        <f t="shared" si="168"/>
        <v>0</v>
      </c>
      <c r="U74" s="467">
        <f t="shared" si="169"/>
        <v>0</v>
      </c>
      <c r="V74" s="31">
        <f aca="true" t="shared" si="182" ref="V74:V80">IF(B74="",0,IF(A74=A73,0,IF(A74="SLOW",P$3,P$4)))</f>
        <v>0</v>
      </c>
      <c r="W74" s="105">
        <f t="shared" si="170"/>
        <v>0</v>
      </c>
      <c r="X74" s="23">
        <f t="shared" si="82"/>
        <v>0</v>
      </c>
      <c r="Y74" s="32">
        <f t="shared" si="171"/>
        <v>0</v>
      </c>
      <c r="Z74" s="409">
        <f t="shared" si="150"/>
        <v>0</v>
      </c>
      <c r="AA74" s="171">
        <f>B74</f>
        <v>0</v>
      </c>
      <c r="AB74" s="1739"/>
      <c r="AC74" s="1738"/>
      <c r="AD74" s="48">
        <f t="shared" si="172"/>
        <v>10</v>
      </c>
      <c r="AE74" s="29">
        <f t="shared" si="97"/>
        <v>360</v>
      </c>
      <c r="AF74" s="31">
        <f t="shared" si="173"/>
        <v>0</v>
      </c>
      <c r="AG74" s="1727"/>
      <c r="AH74" s="836"/>
      <c r="AI74" s="25">
        <f t="shared" si="174"/>
        <v>0</v>
      </c>
      <c r="AJ74" s="24">
        <f aca="true" t="shared" si="183" ref="AJ74:AJ81">IF(AI74=0,0,+AI74/0.0000115741-W74)</f>
        <v>0</v>
      </c>
      <c r="AK74" s="379">
        <f t="shared" si="15"/>
        <v>0</v>
      </c>
      <c r="AL74" s="88">
        <f t="shared" si="175"/>
        <v>0</v>
      </c>
      <c r="AM74" s="134" t="e">
        <f aca="true" t="shared" si="184" ref="AM74:AM81">AJ74/W74*Q74*2025</f>
        <v>#DIV/0!</v>
      </c>
      <c r="AN74" s="62"/>
      <c r="AO74" s="474">
        <f t="shared" si="176"/>
        <v>0</v>
      </c>
      <c r="AP74" s="473">
        <f t="shared" si="177"/>
        <v>0</v>
      </c>
      <c r="AQ74" s="473">
        <f t="shared" si="178"/>
        <v>0</v>
      </c>
      <c r="AR74" s="474">
        <f t="shared" si="179"/>
        <v>0</v>
      </c>
      <c r="AS74" s="474">
        <f t="shared" si="180"/>
        <v>0</v>
      </c>
      <c r="AT74" s="475"/>
      <c r="AU74" s="246">
        <f t="shared" si="181"/>
        <v>0</v>
      </c>
      <c r="AV74" s="70"/>
      <c r="AW74" s="49"/>
      <c r="AX74" s="217"/>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c r="CO74" s="211"/>
      <c r="CP74" s="211"/>
      <c r="CQ74" s="211"/>
      <c r="CR74" s="211"/>
      <c r="CS74" s="211"/>
      <c r="CT74" s="211"/>
      <c r="CU74" s="211"/>
      <c r="CV74" s="211"/>
      <c r="CW74" s="211"/>
      <c r="CX74" s="211"/>
      <c r="CY74" s="211"/>
      <c r="CZ74" s="211"/>
      <c r="DA74" s="211"/>
      <c r="DB74" s="211"/>
      <c r="DC74" s="211"/>
      <c r="DD74" s="211"/>
      <c r="DE74" s="211"/>
      <c r="DF74" s="211"/>
      <c r="DG74" s="211"/>
      <c r="DH74" s="211"/>
      <c r="DI74" s="211"/>
      <c r="DJ74" s="211"/>
      <c r="DK74" s="211"/>
      <c r="DL74" s="211"/>
      <c r="DM74" s="211"/>
      <c r="DN74" s="211"/>
      <c r="DO74" s="211"/>
      <c r="DP74" s="211"/>
      <c r="DQ74" s="211"/>
      <c r="DR74" s="211"/>
      <c r="DS74" s="211"/>
      <c r="DT74" s="211"/>
      <c r="DU74" s="211"/>
      <c r="DV74" s="211"/>
      <c r="DW74" s="211"/>
      <c r="DX74" s="211"/>
      <c r="DY74" s="211"/>
      <c r="DZ74" s="211"/>
      <c r="EA74" s="211"/>
      <c r="EB74" s="211"/>
      <c r="EC74" s="211"/>
      <c r="ED74" s="211"/>
      <c r="EE74" s="211"/>
      <c r="EF74" s="211"/>
      <c r="EG74" s="211"/>
      <c r="EH74" s="211"/>
      <c r="EI74" s="211"/>
    </row>
    <row r="75" spans="1:139" ht="12.75" customHeight="1">
      <c r="A75" s="1016" t="s">
        <v>78</v>
      </c>
      <c r="B75" s="1655"/>
      <c r="C75" s="1656"/>
      <c r="D75" s="1669"/>
      <c r="E75" s="805">
        <f t="shared" si="163"/>
      </c>
      <c r="F75" s="1682"/>
      <c r="G75" s="1684"/>
      <c r="H75" s="1698"/>
      <c r="I75" s="1679"/>
      <c r="J75" s="1688"/>
      <c r="K75" s="1667"/>
      <c r="L75" s="800">
        <f aca="true" t="shared" si="185" ref="L75:L80">IF(K75="","",IF(K75&lt;(1-$R$3),360+K75+$R$3,K75+$R$3))</f>
      </c>
      <c r="M75" s="1693"/>
      <c r="N75" s="707">
        <f t="shared" si="164"/>
        <v>0</v>
      </c>
      <c r="O75" s="710">
        <f t="shared" si="165"/>
        <v>0</v>
      </c>
      <c r="P75" s="799">
        <f t="shared" si="19"/>
        <v>0</v>
      </c>
      <c r="Q75" s="1695"/>
      <c r="R75" s="802">
        <f t="shared" si="166"/>
        <v>10</v>
      </c>
      <c r="S75" s="97">
        <f t="shared" si="167"/>
        <v>0</v>
      </c>
      <c r="T75" s="765">
        <f t="shared" si="168"/>
        <v>0</v>
      </c>
      <c r="U75" s="467">
        <f t="shared" si="169"/>
        <v>0</v>
      </c>
      <c r="V75" s="31">
        <f t="shared" si="182"/>
        <v>0</v>
      </c>
      <c r="W75" s="105">
        <f t="shared" si="170"/>
        <v>0</v>
      </c>
      <c r="X75" s="23">
        <f t="shared" si="82"/>
        <v>0</v>
      </c>
      <c r="Y75" s="32">
        <f t="shared" si="171"/>
        <v>0</v>
      </c>
      <c r="Z75" s="409">
        <f t="shared" si="150"/>
        <v>0</v>
      </c>
      <c r="AA75" s="171">
        <f aca="true" t="shared" si="186" ref="AA75:AA80">B75</f>
        <v>0</v>
      </c>
      <c r="AB75" s="1739"/>
      <c r="AC75" s="1738"/>
      <c r="AD75" s="48">
        <f t="shared" si="172"/>
        <v>10</v>
      </c>
      <c r="AE75" s="29">
        <f t="shared" si="97"/>
        <v>360</v>
      </c>
      <c r="AF75" s="31">
        <f t="shared" si="173"/>
        <v>0</v>
      </c>
      <c r="AG75" s="1728"/>
      <c r="AH75" s="836"/>
      <c r="AI75" s="25">
        <f t="shared" si="174"/>
        <v>0</v>
      </c>
      <c r="AJ75" s="24">
        <f t="shared" si="183"/>
        <v>0</v>
      </c>
      <c r="AK75" s="379">
        <f aca="true" t="shared" si="187" ref="AK75:AK80">IF(AJ75=0,0,+Q75*3600*(1/((AI75/0.0000115741)-T75)-1/S75))</f>
        <v>0</v>
      </c>
      <c r="AL75" s="88">
        <f t="shared" si="175"/>
        <v>0</v>
      </c>
      <c r="AM75" s="134" t="e">
        <f t="shared" si="184"/>
        <v>#DIV/0!</v>
      </c>
      <c r="AN75" s="62"/>
      <c r="AO75" s="474">
        <f t="shared" si="176"/>
        <v>0</v>
      </c>
      <c r="AP75" s="473">
        <f t="shared" si="177"/>
        <v>0</v>
      </c>
      <c r="AQ75" s="473">
        <f t="shared" si="178"/>
        <v>0</v>
      </c>
      <c r="AR75" s="474">
        <f t="shared" si="179"/>
        <v>0</v>
      </c>
      <c r="AS75" s="474">
        <f t="shared" si="180"/>
        <v>0</v>
      </c>
      <c r="AT75" s="475"/>
      <c r="AU75" s="246">
        <f t="shared" si="181"/>
        <v>0</v>
      </c>
      <c r="AV75" s="70"/>
      <c r="AW75" s="49"/>
      <c r="AX75" s="104"/>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row>
    <row r="76" spans="1:139" s="249" customFormat="1" ht="12.75" customHeight="1">
      <c r="A76" s="1018" t="s">
        <v>78</v>
      </c>
      <c r="B76" s="1655"/>
      <c r="C76" s="1656"/>
      <c r="D76" s="1669"/>
      <c r="E76" s="805">
        <f t="shared" si="163"/>
      </c>
      <c r="F76" s="1682"/>
      <c r="G76" s="1684"/>
      <c r="H76" s="1698"/>
      <c r="I76" s="1679"/>
      <c r="J76" s="1684"/>
      <c r="K76" s="1667"/>
      <c r="L76" s="800">
        <f t="shared" si="185"/>
      </c>
      <c r="M76" s="1693"/>
      <c r="N76" s="707">
        <f t="shared" si="164"/>
        <v>0</v>
      </c>
      <c r="O76" s="710">
        <f t="shared" si="165"/>
        <v>0</v>
      </c>
      <c r="P76" s="799">
        <f>IF(K76=0,0,IF(AO76&lt;0,-AR76,AS76))</f>
        <v>0</v>
      </c>
      <c r="Q76" s="1695"/>
      <c r="R76" s="802">
        <f t="shared" si="166"/>
        <v>10</v>
      </c>
      <c r="S76" s="97">
        <f t="shared" si="167"/>
        <v>0</v>
      </c>
      <c r="T76" s="765">
        <f t="shared" si="168"/>
        <v>0</v>
      </c>
      <c r="U76" s="470">
        <f t="shared" si="169"/>
        <v>0</v>
      </c>
      <c r="V76" s="31">
        <f t="shared" si="182"/>
        <v>0</v>
      </c>
      <c r="W76" s="105">
        <f t="shared" si="170"/>
        <v>0</v>
      </c>
      <c r="X76" s="23">
        <f t="shared" si="82"/>
        <v>0</v>
      </c>
      <c r="Y76" s="32">
        <f t="shared" si="171"/>
        <v>0</v>
      </c>
      <c r="Z76" s="409">
        <f t="shared" si="150"/>
        <v>0</v>
      </c>
      <c r="AA76" s="171">
        <f t="shared" si="186"/>
        <v>0</v>
      </c>
      <c r="AB76" s="1739"/>
      <c r="AC76" s="1738"/>
      <c r="AD76" s="48">
        <f t="shared" si="172"/>
        <v>10</v>
      </c>
      <c r="AE76" s="29">
        <f t="shared" si="97"/>
        <v>360</v>
      </c>
      <c r="AF76" s="31">
        <f t="shared" si="173"/>
        <v>0</v>
      </c>
      <c r="AG76" s="1743"/>
      <c r="AH76" s="840"/>
      <c r="AI76" s="25">
        <f t="shared" si="174"/>
        <v>0</v>
      </c>
      <c r="AJ76" s="24">
        <f t="shared" si="183"/>
        <v>0</v>
      </c>
      <c r="AK76" s="379">
        <f t="shared" si="187"/>
        <v>0</v>
      </c>
      <c r="AL76" s="88">
        <f t="shared" si="175"/>
        <v>0</v>
      </c>
      <c r="AM76" s="435" t="e">
        <f t="shared" si="184"/>
        <v>#DIV/0!</v>
      </c>
      <c r="AN76" s="452"/>
      <c r="AO76" s="474">
        <f t="shared" si="176"/>
        <v>0</v>
      </c>
      <c r="AP76" s="473">
        <f t="shared" si="177"/>
        <v>0</v>
      </c>
      <c r="AQ76" s="473">
        <f t="shared" si="178"/>
        <v>0</v>
      </c>
      <c r="AR76" s="474">
        <f t="shared" si="179"/>
        <v>0</v>
      </c>
      <c r="AS76" s="474">
        <f t="shared" si="180"/>
        <v>0</v>
      </c>
      <c r="AT76" s="475"/>
      <c r="AU76" s="431">
        <f t="shared" si="181"/>
        <v>0</v>
      </c>
      <c r="AV76" s="250"/>
      <c r="AW76" s="251"/>
      <c r="AX76" s="271"/>
      <c r="AY76" s="268"/>
      <c r="AZ76" s="268"/>
      <c r="BA76" s="268"/>
      <c r="BB76" s="268"/>
      <c r="BC76" s="268"/>
      <c r="BD76" s="268"/>
      <c r="BE76" s="268"/>
      <c r="BF76" s="268"/>
      <c r="BG76" s="268"/>
      <c r="BH76" s="268"/>
      <c r="BI76" s="268"/>
      <c r="BJ76" s="268"/>
      <c r="BK76" s="268"/>
      <c r="BL76" s="268"/>
      <c r="BM76" s="268"/>
      <c r="BN76" s="268"/>
      <c r="BO76" s="268"/>
      <c r="BP76" s="268"/>
      <c r="BQ76" s="268"/>
      <c r="BR76" s="268"/>
      <c r="BS76" s="268"/>
      <c r="BT76" s="268"/>
      <c r="BU76" s="268"/>
      <c r="BV76" s="268"/>
      <c r="BW76" s="268"/>
      <c r="BX76" s="268"/>
      <c r="BY76" s="268"/>
      <c r="BZ76" s="268"/>
      <c r="CA76" s="268"/>
      <c r="CB76" s="268"/>
      <c r="CC76" s="268"/>
      <c r="CD76" s="268"/>
      <c r="CE76" s="268"/>
      <c r="CF76" s="268"/>
      <c r="CG76" s="268"/>
      <c r="CH76" s="268"/>
      <c r="CI76" s="268"/>
      <c r="CJ76" s="268"/>
      <c r="CK76" s="268"/>
      <c r="CL76" s="268"/>
      <c r="CM76" s="268"/>
      <c r="CN76" s="268"/>
      <c r="CO76" s="268"/>
      <c r="CP76" s="268"/>
      <c r="CQ76" s="268"/>
      <c r="CR76" s="268"/>
      <c r="CS76" s="268"/>
      <c r="CT76" s="268"/>
      <c r="CU76" s="268"/>
      <c r="CV76" s="268"/>
      <c r="CW76" s="268"/>
      <c r="CX76" s="268"/>
      <c r="CY76" s="268"/>
      <c r="CZ76" s="268"/>
      <c r="DA76" s="268"/>
      <c r="DB76" s="268"/>
      <c r="DC76" s="268"/>
      <c r="DD76" s="268"/>
      <c r="DE76" s="268"/>
      <c r="DF76" s="268"/>
      <c r="DG76" s="268"/>
      <c r="DH76" s="268"/>
      <c r="DI76" s="268"/>
      <c r="DJ76" s="268"/>
      <c r="DK76" s="268"/>
      <c r="DL76" s="268"/>
      <c r="DM76" s="268"/>
      <c r="DN76" s="268"/>
      <c r="DO76" s="268"/>
      <c r="DP76" s="268"/>
      <c r="DQ76" s="268"/>
      <c r="DR76" s="268"/>
      <c r="DS76" s="268"/>
      <c r="DT76" s="268"/>
      <c r="DU76" s="268"/>
      <c r="DV76" s="268"/>
      <c r="DW76" s="268"/>
      <c r="DX76" s="268"/>
      <c r="DY76" s="268"/>
      <c r="DZ76" s="268"/>
      <c r="EA76" s="268"/>
      <c r="EB76" s="268"/>
      <c r="EC76" s="268"/>
      <c r="ED76" s="268"/>
      <c r="EE76" s="268"/>
      <c r="EF76" s="268"/>
      <c r="EG76" s="268"/>
      <c r="EH76" s="268"/>
      <c r="EI76" s="268"/>
    </row>
    <row r="77" spans="1:139" ht="12.75" customHeight="1">
      <c r="A77" s="1016" t="s">
        <v>78</v>
      </c>
      <c r="B77" s="1655"/>
      <c r="C77" s="1657"/>
      <c r="D77" s="1669"/>
      <c r="E77" s="805">
        <f t="shared" si="163"/>
      </c>
      <c r="F77" s="1682"/>
      <c r="G77" s="1684"/>
      <c r="H77" s="1698"/>
      <c r="I77" s="1679"/>
      <c r="J77" s="1684"/>
      <c r="K77" s="1667"/>
      <c r="L77" s="800">
        <f t="shared" si="185"/>
      </c>
      <c r="M77" s="1693"/>
      <c r="N77" s="707">
        <f t="shared" si="164"/>
        <v>0</v>
      </c>
      <c r="O77" s="710">
        <f t="shared" si="165"/>
        <v>0</v>
      </c>
      <c r="P77" s="799">
        <f>IF(K77=0,0,IF(AO77&lt;0,-AR77,AS77))</f>
        <v>0</v>
      </c>
      <c r="Q77" s="1695"/>
      <c r="R77" s="802">
        <f t="shared" si="166"/>
        <v>10</v>
      </c>
      <c r="S77" s="97">
        <f t="shared" si="167"/>
        <v>0</v>
      </c>
      <c r="T77" s="765">
        <f t="shared" si="168"/>
        <v>0</v>
      </c>
      <c r="U77" s="467">
        <f t="shared" si="169"/>
        <v>0</v>
      </c>
      <c r="V77" s="31">
        <f t="shared" si="182"/>
        <v>0</v>
      </c>
      <c r="W77" s="105">
        <f t="shared" si="170"/>
        <v>0</v>
      </c>
      <c r="X77" s="23">
        <f t="shared" si="82"/>
        <v>0</v>
      </c>
      <c r="Y77" s="32">
        <f t="shared" si="171"/>
        <v>0</v>
      </c>
      <c r="Z77" s="409">
        <f t="shared" si="150"/>
        <v>0</v>
      </c>
      <c r="AA77" s="171">
        <f t="shared" si="186"/>
        <v>0</v>
      </c>
      <c r="AB77" s="1739"/>
      <c r="AC77" s="1738"/>
      <c r="AD77" s="48">
        <f t="shared" si="172"/>
        <v>10</v>
      </c>
      <c r="AE77" s="29">
        <f t="shared" si="97"/>
        <v>360</v>
      </c>
      <c r="AF77" s="31">
        <f t="shared" si="173"/>
        <v>0</v>
      </c>
      <c r="AG77" s="1727"/>
      <c r="AH77" s="836"/>
      <c r="AI77" s="25">
        <f t="shared" si="174"/>
        <v>0</v>
      </c>
      <c r="AJ77" s="24">
        <f t="shared" si="183"/>
        <v>0</v>
      </c>
      <c r="AK77" s="379">
        <f t="shared" si="187"/>
        <v>0</v>
      </c>
      <c r="AL77" s="88">
        <f t="shared" si="175"/>
        <v>0</v>
      </c>
      <c r="AM77" s="134" t="e">
        <f t="shared" si="184"/>
        <v>#DIV/0!</v>
      </c>
      <c r="AN77" s="62"/>
      <c r="AO77" s="474">
        <f t="shared" si="176"/>
        <v>0</v>
      </c>
      <c r="AP77" s="473">
        <f t="shared" si="177"/>
        <v>0</v>
      </c>
      <c r="AQ77" s="473">
        <f t="shared" si="178"/>
        <v>0</v>
      </c>
      <c r="AR77" s="474">
        <f t="shared" si="179"/>
        <v>0</v>
      </c>
      <c r="AS77" s="474">
        <f t="shared" si="180"/>
        <v>0</v>
      </c>
      <c r="AT77" s="475"/>
      <c r="AU77" s="246">
        <f t="shared" si="181"/>
        <v>0</v>
      </c>
      <c r="AV77" s="70"/>
      <c r="AX77" s="104"/>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row>
    <row r="78" spans="1:139" ht="12.75" customHeight="1">
      <c r="A78" s="1016" t="s">
        <v>78</v>
      </c>
      <c r="B78" s="1655"/>
      <c r="C78" s="1657"/>
      <c r="D78" s="1669"/>
      <c r="E78" s="805">
        <f t="shared" si="163"/>
      </c>
      <c r="F78" s="1682"/>
      <c r="G78" s="1684"/>
      <c r="H78" s="1698"/>
      <c r="I78" s="1679"/>
      <c r="J78" s="1688"/>
      <c r="K78" s="1667"/>
      <c r="L78" s="800">
        <f t="shared" si="185"/>
      </c>
      <c r="M78" s="1693"/>
      <c r="N78" s="707">
        <f t="shared" si="164"/>
        <v>0</v>
      </c>
      <c r="O78" s="710">
        <f t="shared" si="165"/>
        <v>0</v>
      </c>
      <c r="P78" s="799">
        <f>IF(K78=0,0,IF(AO78&lt;0,-AR78,AS78))</f>
        <v>0</v>
      </c>
      <c r="Q78" s="1695"/>
      <c r="R78" s="802">
        <f t="shared" si="166"/>
        <v>10</v>
      </c>
      <c r="S78" s="97">
        <f t="shared" si="167"/>
        <v>0</v>
      </c>
      <c r="T78" s="765">
        <f t="shared" si="168"/>
        <v>0</v>
      </c>
      <c r="U78" s="467">
        <f t="shared" si="169"/>
        <v>0</v>
      </c>
      <c r="V78" s="31">
        <f t="shared" si="182"/>
        <v>0</v>
      </c>
      <c r="W78" s="105">
        <f t="shared" si="170"/>
        <v>0</v>
      </c>
      <c r="X78" s="54">
        <f t="shared" si="82"/>
        <v>0</v>
      </c>
      <c r="Y78" s="32">
        <f t="shared" si="171"/>
        <v>0</v>
      </c>
      <c r="Z78" s="409">
        <f t="shared" si="150"/>
        <v>0</v>
      </c>
      <c r="AA78" s="171">
        <f t="shared" si="186"/>
        <v>0</v>
      </c>
      <c r="AB78" s="1739"/>
      <c r="AC78" s="1738"/>
      <c r="AD78" s="48">
        <f t="shared" si="172"/>
        <v>10</v>
      </c>
      <c r="AE78" s="29">
        <f t="shared" si="97"/>
        <v>360</v>
      </c>
      <c r="AF78" s="31">
        <f t="shared" si="173"/>
        <v>0</v>
      </c>
      <c r="AG78" s="1729"/>
      <c r="AH78" s="840"/>
      <c r="AI78" s="25">
        <f t="shared" si="174"/>
        <v>0</v>
      </c>
      <c r="AJ78" s="24">
        <f t="shared" si="183"/>
        <v>0</v>
      </c>
      <c r="AK78" s="379">
        <f t="shared" si="187"/>
        <v>0</v>
      </c>
      <c r="AL78" s="88">
        <f t="shared" si="175"/>
        <v>0</v>
      </c>
      <c r="AM78" s="89" t="e">
        <f t="shared" si="184"/>
        <v>#DIV/0!</v>
      </c>
      <c r="AN78" s="62"/>
      <c r="AO78" s="474">
        <f t="shared" si="176"/>
        <v>0</v>
      </c>
      <c r="AP78" s="473">
        <f t="shared" si="177"/>
        <v>0</v>
      </c>
      <c r="AQ78" s="473">
        <f t="shared" si="178"/>
        <v>0</v>
      </c>
      <c r="AR78" s="474">
        <f t="shared" si="179"/>
        <v>0</v>
      </c>
      <c r="AS78" s="474">
        <f t="shared" si="180"/>
        <v>0</v>
      </c>
      <c r="AT78" s="475"/>
      <c r="AU78" s="246">
        <f t="shared" si="181"/>
        <v>0</v>
      </c>
      <c r="AV78" s="70"/>
      <c r="AX78" s="104"/>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row>
    <row r="79" spans="1:139" s="52" customFormat="1" ht="12.75" customHeight="1">
      <c r="A79" s="1016" t="s">
        <v>78</v>
      </c>
      <c r="B79" s="1655"/>
      <c r="C79" s="1657"/>
      <c r="D79" s="1669"/>
      <c r="E79" s="805">
        <f t="shared" si="163"/>
      </c>
      <c r="F79" s="1682"/>
      <c r="G79" s="1684"/>
      <c r="H79" s="1698"/>
      <c r="I79" s="1679"/>
      <c r="J79" s="1684"/>
      <c r="K79" s="1667"/>
      <c r="L79" s="800">
        <f t="shared" si="185"/>
      </c>
      <c r="M79" s="1693"/>
      <c r="N79" s="707">
        <f t="shared" si="164"/>
        <v>0</v>
      </c>
      <c r="O79" s="710">
        <f t="shared" si="165"/>
        <v>0</v>
      </c>
      <c r="P79" s="799">
        <f>IF(K79=0,0,IF(AO79&lt;0,-AR79,AS79))</f>
        <v>0</v>
      </c>
      <c r="Q79" s="1695"/>
      <c r="R79" s="802">
        <f t="shared" si="166"/>
        <v>10</v>
      </c>
      <c r="S79" s="97">
        <f t="shared" si="167"/>
        <v>0</v>
      </c>
      <c r="T79" s="765">
        <f t="shared" si="168"/>
        <v>0</v>
      </c>
      <c r="U79" s="467">
        <f t="shared" si="169"/>
        <v>0</v>
      </c>
      <c r="V79" s="31">
        <f t="shared" si="182"/>
        <v>0</v>
      </c>
      <c r="W79" s="105">
        <f t="shared" si="170"/>
        <v>0</v>
      </c>
      <c r="X79" s="23">
        <f t="shared" si="82"/>
        <v>0</v>
      </c>
      <c r="Y79" s="32">
        <f t="shared" si="171"/>
        <v>0</v>
      </c>
      <c r="Z79" s="409">
        <f t="shared" si="150"/>
        <v>0</v>
      </c>
      <c r="AA79" s="171">
        <f t="shared" si="186"/>
        <v>0</v>
      </c>
      <c r="AB79" s="1739"/>
      <c r="AC79" s="1738"/>
      <c r="AD79" s="48">
        <f t="shared" si="172"/>
        <v>10</v>
      </c>
      <c r="AE79" s="29">
        <f t="shared" si="97"/>
        <v>360</v>
      </c>
      <c r="AF79" s="31">
        <f t="shared" si="173"/>
        <v>0</v>
      </c>
      <c r="AG79" s="1728"/>
      <c r="AH79" s="836"/>
      <c r="AI79" s="25">
        <f t="shared" si="174"/>
        <v>0</v>
      </c>
      <c r="AJ79" s="24">
        <f t="shared" si="183"/>
        <v>0</v>
      </c>
      <c r="AK79" s="379">
        <f t="shared" si="187"/>
        <v>0</v>
      </c>
      <c r="AL79" s="88">
        <f t="shared" si="175"/>
        <v>0</v>
      </c>
      <c r="AM79" s="89" t="e">
        <f t="shared" si="184"/>
        <v>#DIV/0!</v>
      </c>
      <c r="AN79" s="62"/>
      <c r="AO79" s="474">
        <f t="shared" si="176"/>
        <v>0</v>
      </c>
      <c r="AP79" s="473">
        <f t="shared" si="177"/>
        <v>0</v>
      </c>
      <c r="AQ79" s="473">
        <f t="shared" si="178"/>
        <v>0</v>
      </c>
      <c r="AR79" s="474">
        <f t="shared" si="179"/>
        <v>0</v>
      </c>
      <c r="AS79" s="474">
        <f t="shared" si="180"/>
        <v>0</v>
      </c>
      <c r="AT79" s="475"/>
      <c r="AU79" s="246">
        <f t="shared" si="181"/>
        <v>0</v>
      </c>
      <c r="AV79" s="70"/>
      <c r="AW79" s="47"/>
      <c r="AX79" s="104"/>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row>
    <row r="80" spans="1:139" s="53" customFormat="1" ht="14.25" customHeight="1">
      <c r="A80" s="1016" t="s">
        <v>78</v>
      </c>
      <c r="B80" s="1655"/>
      <c r="C80" s="1672"/>
      <c r="D80" s="1673"/>
      <c r="E80" s="805">
        <f t="shared" si="163"/>
      </c>
      <c r="F80" s="1682"/>
      <c r="G80" s="1684"/>
      <c r="H80" s="1698"/>
      <c r="I80" s="1679"/>
      <c r="J80" s="1716"/>
      <c r="K80" s="1667"/>
      <c r="L80" s="800">
        <f t="shared" si="185"/>
      </c>
      <c r="M80" s="1693"/>
      <c r="N80" s="707">
        <f t="shared" si="164"/>
        <v>0</v>
      </c>
      <c r="O80" s="710">
        <f t="shared" si="165"/>
        <v>0</v>
      </c>
      <c r="P80" s="799">
        <f>IF(K80=0,0,IF(AO80&lt;0,-AR80,AS80))</f>
        <v>0</v>
      </c>
      <c r="Q80" s="1695"/>
      <c r="R80" s="802">
        <f t="shared" si="166"/>
        <v>10</v>
      </c>
      <c r="S80" s="97">
        <f t="shared" si="167"/>
        <v>0</v>
      </c>
      <c r="T80" s="765">
        <f>IF(K80=0,0,IF(AO80&lt;0,AP80,AQ80))</f>
        <v>0</v>
      </c>
      <c r="U80" s="467">
        <f t="shared" si="169"/>
        <v>0</v>
      </c>
      <c r="V80" s="31">
        <f t="shared" si="182"/>
        <v>0</v>
      </c>
      <c r="W80" s="105">
        <f t="shared" si="170"/>
        <v>0</v>
      </c>
      <c r="X80" s="23">
        <f t="shared" si="82"/>
        <v>0</v>
      </c>
      <c r="Y80" s="32">
        <f t="shared" si="171"/>
        <v>0</v>
      </c>
      <c r="Z80" s="409">
        <f t="shared" si="150"/>
        <v>0</v>
      </c>
      <c r="AA80" s="171">
        <f t="shared" si="186"/>
        <v>0</v>
      </c>
      <c r="AB80" s="1739"/>
      <c r="AC80" s="1738"/>
      <c r="AD80" s="48">
        <f t="shared" si="172"/>
        <v>10</v>
      </c>
      <c r="AE80" s="29">
        <f t="shared" si="97"/>
        <v>360</v>
      </c>
      <c r="AF80" s="31">
        <f t="shared" si="173"/>
        <v>0</v>
      </c>
      <c r="AG80" s="1728"/>
      <c r="AH80" s="836"/>
      <c r="AI80" s="25">
        <f t="shared" si="174"/>
        <v>0</v>
      </c>
      <c r="AJ80" s="24">
        <f t="shared" si="183"/>
        <v>0</v>
      </c>
      <c r="AK80" s="379">
        <f t="shared" si="187"/>
        <v>0</v>
      </c>
      <c r="AL80" s="88">
        <f t="shared" si="175"/>
        <v>0</v>
      </c>
      <c r="AM80" s="89" t="e">
        <f t="shared" si="184"/>
        <v>#DIV/0!</v>
      </c>
      <c r="AN80" s="62"/>
      <c r="AO80" s="474">
        <f t="shared" si="176"/>
        <v>0</v>
      </c>
      <c r="AP80" s="473">
        <f t="shared" si="177"/>
        <v>0</v>
      </c>
      <c r="AQ80" s="473">
        <f t="shared" si="178"/>
        <v>0</v>
      </c>
      <c r="AR80" s="474">
        <f t="shared" si="179"/>
        <v>0</v>
      </c>
      <c r="AS80" s="474">
        <f t="shared" si="180"/>
        <v>0</v>
      </c>
      <c r="AT80" s="475"/>
      <c r="AU80" s="246">
        <f t="shared" si="181"/>
        <v>0</v>
      </c>
      <c r="AV80" s="70"/>
      <c r="AW80" s="47"/>
      <c r="AX80" s="217"/>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c r="CF80" s="211"/>
      <c r="CG80" s="211"/>
      <c r="CH80" s="211"/>
      <c r="CI80" s="211"/>
      <c r="CJ80" s="211"/>
      <c r="CK80" s="211"/>
      <c r="CL80" s="211"/>
      <c r="CM80" s="211"/>
      <c r="CN80" s="211"/>
      <c r="CO80" s="211"/>
      <c r="CP80" s="211"/>
      <c r="CQ80" s="211"/>
      <c r="CR80" s="211"/>
      <c r="CS80" s="211"/>
      <c r="CT80" s="211"/>
      <c r="CU80" s="211"/>
      <c r="CV80" s="211"/>
      <c r="CW80" s="211"/>
      <c r="CX80" s="211"/>
      <c r="CY80" s="211"/>
      <c r="CZ80" s="211"/>
      <c r="DA80" s="211"/>
      <c r="DB80" s="211"/>
      <c r="DC80" s="211"/>
      <c r="DD80" s="211"/>
      <c r="DE80" s="211"/>
      <c r="DF80" s="211"/>
      <c r="DG80" s="211"/>
      <c r="DH80" s="211"/>
      <c r="DI80" s="211"/>
      <c r="DJ80" s="211"/>
      <c r="DK80" s="211"/>
      <c r="DL80" s="211"/>
      <c r="DM80" s="211"/>
      <c r="DN80" s="211"/>
      <c r="DO80" s="211"/>
      <c r="DP80" s="211"/>
      <c r="DQ80" s="211"/>
      <c r="DR80" s="211"/>
      <c r="DS80" s="211"/>
      <c r="DT80" s="211"/>
      <c r="DU80" s="211"/>
      <c r="DV80" s="211"/>
      <c r="DW80" s="211"/>
      <c r="DX80" s="211"/>
      <c r="DY80" s="211"/>
      <c r="DZ80" s="211"/>
      <c r="EA80" s="211"/>
      <c r="EB80" s="211"/>
      <c r="EC80" s="211"/>
      <c r="ED80" s="211"/>
      <c r="EE80" s="211"/>
      <c r="EF80" s="211"/>
      <c r="EG80" s="211"/>
      <c r="EH80" s="211"/>
      <c r="EI80" s="211"/>
    </row>
    <row r="81" spans="1:139" s="53" customFormat="1" ht="13.5" customHeight="1" thickBot="1">
      <c r="A81" s="590">
        <v>8</v>
      </c>
      <c r="B81" s="591">
        <f>IF($B73="","",IF($B74="",B73,IF($B75="",B74,IF($B76="",B75,IF($B77="",B76,IF($B78="",B77,IF($B79="",B78,IF($B80="",B79,B80))))))))</f>
      </c>
      <c r="C81" s="592"/>
      <c r="D81" s="593">
        <f>IF($B73="","",IF($B74="",D73,IF($B75="",D74,IF($B76="",D75,IF($B77="",D76,IF($B78="",D77,IF($B79="",D78,IF($B80="",D79,D80))))))))</f>
      </c>
      <c r="E81" s="631"/>
      <c r="F81" s="594">
        <f>IF($B73="","",IF($B74="",F73,IF($B75="",F74,IF($B76="",F75,IF($B77="",F76,IF($B78="",F77,IF($B79="",F78,IF($B80="",F79,F80))))))))</f>
      </c>
      <c r="G81" s="595">
        <f>IF($B73="","",IF($B74="",G73,IF($B75="",G74,IF($B76="",G75,IF($B77="",G76,IF($B78="",G77,IF($B79="",G78,IF($B80="",G79,G80))))))))</f>
      </c>
      <c r="H81" s="595"/>
      <c r="I81" s="596">
        <f>IF($B73="","",IF($B74="",I73,IF($B75="",I74,IF($B76="",I75,IF($B77="",I76,IF($B78="",I77,IF($B79="",I78,IF($B80="",I79,I80))))))))</f>
      </c>
      <c r="J81" s="597">
        <f>IF($B73="","",IF($B74="",J73,IF($B75="",J74,IF($B76="",J75,IF($B77="",J76,IF($B78="",J77,IF($B79="",J78,IF($B80="",J79,J80))))))))</f>
      </c>
      <c r="K81" s="740"/>
      <c r="L81" s="735"/>
      <c r="M81" s="711"/>
      <c r="N81" s="712"/>
      <c r="O81" s="768"/>
      <c r="P81" s="769"/>
      <c r="Q81" s="598">
        <f>SUM(Q73:Q80)</f>
        <v>0</v>
      </c>
      <c r="R81" s="803" t="e">
        <f>Q81*3600/S81</f>
        <v>#DIV/0!</v>
      </c>
      <c r="S81" s="599">
        <f>SUM(S73:S80)</f>
        <v>0</v>
      </c>
      <c r="T81" s="599">
        <f>SUM(T73:T80)</f>
        <v>0</v>
      </c>
      <c r="U81" s="601">
        <f>SUM(U73:U80)</f>
        <v>0</v>
      </c>
      <c r="V81" s="601">
        <f>SUM(V73:V80)</f>
        <v>0</v>
      </c>
      <c r="W81" s="600">
        <f>ROUND(SUM(W73:W80),0)</f>
        <v>0</v>
      </c>
      <c r="X81" s="602">
        <f t="shared" si="82"/>
        <v>0</v>
      </c>
      <c r="Y81" s="603">
        <f>TIMEVALUE(Y72)+TIMEVALUE(X81)</f>
        <v>0.5902777777777777</v>
      </c>
      <c r="Z81" s="604"/>
      <c r="AA81" s="605"/>
      <c r="AB81" s="606"/>
      <c r="AC81" s="607"/>
      <c r="AD81" s="608">
        <f>AVERAGE(AD73:AD80)</f>
        <v>10</v>
      </c>
      <c r="AE81" s="19"/>
      <c r="AF81" s="609"/>
      <c r="AG81" s="593">
        <f>IF($B73="",0,IF($B74="",AG73,IF($B75="",AG74,IF($B76="",AG75,IF($B77="",AG76,IF($B78="",AG77,IF($B79="",AG78,IF($B80="",AG79,AG80))))))))</f>
        <v>0</v>
      </c>
      <c r="AH81" s="1726"/>
      <c r="AI81" s="136">
        <f>IF(TIMEVALUE(AG81)=0,0,TIMEVALUE(AG81)-TIMEVALUE(AG72)-TIMEVALUE(AH81))</f>
        <v>0</v>
      </c>
      <c r="AJ81" s="610">
        <f t="shared" si="183"/>
        <v>0</v>
      </c>
      <c r="AK81" s="415" t="e">
        <f>(AK73*$Q73+AK74*$Q74+AK75*$Q75+AK76*$Q76+AK77*$Q77+AK78*$Q78+AK79*$Q79+AK80*$Q80)/$Q81</f>
        <v>#DIV/0!</v>
      </c>
      <c r="AL81" s="415" t="e">
        <f>(AL73*$Q73+AL74*$Q74+AL75*$Q75+AL76*$Q76+AL77*$Q77+AL78*$Q78+AL79*$Q79+AL80*$Q80)/$Q81</f>
        <v>#DIV/0!</v>
      </c>
      <c r="AM81" s="611" t="e">
        <f t="shared" si="184"/>
        <v>#DIV/0!</v>
      </c>
      <c r="AN81" s="612"/>
      <c r="AO81" s="613"/>
      <c r="AP81" s="614"/>
      <c r="AQ81" s="614"/>
      <c r="AR81" s="613"/>
      <c r="AS81" s="614"/>
      <c r="AT81" s="614"/>
      <c r="AU81" s="615"/>
      <c r="AV81" s="615"/>
      <c r="AW81" s="548"/>
      <c r="AX81" s="217"/>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c r="CF81" s="211"/>
      <c r="CG81" s="211"/>
      <c r="CH81" s="211"/>
      <c r="CI81" s="211"/>
      <c r="CJ81" s="211"/>
      <c r="CK81" s="211"/>
      <c r="CL81" s="211"/>
      <c r="CM81" s="211"/>
      <c r="CN81" s="211"/>
      <c r="CO81" s="211"/>
      <c r="CP81" s="211"/>
      <c r="CQ81" s="211"/>
      <c r="CR81" s="211"/>
      <c r="CS81" s="211"/>
      <c r="CT81" s="211"/>
      <c r="CU81" s="211"/>
      <c r="CV81" s="211"/>
      <c r="CW81" s="211"/>
      <c r="CX81" s="211"/>
      <c r="CY81" s="211"/>
      <c r="CZ81" s="211"/>
      <c r="DA81" s="211"/>
      <c r="DB81" s="211"/>
      <c r="DC81" s="211"/>
      <c r="DD81" s="211"/>
      <c r="DE81" s="211"/>
      <c r="DF81" s="211"/>
      <c r="DG81" s="211"/>
      <c r="DH81" s="211"/>
      <c r="DI81" s="211"/>
      <c r="DJ81" s="211"/>
      <c r="DK81" s="211"/>
      <c r="DL81" s="211"/>
      <c r="DM81" s="211"/>
      <c r="DN81" s="211"/>
      <c r="DO81" s="211"/>
      <c r="DP81" s="211"/>
      <c r="DQ81" s="211"/>
      <c r="DR81" s="211"/>
      <c r="DS81" s="211"/>
      <c r="DT81" s="211"/>
      <c r="DU81" s="211"/>
      <c r="DV81" s="211"/>
      <c r="DW81" s="211"/>
      <c r="DX81" s="211"/>
      <c r="DY81" s="211"/>
      <c r="DZ81" s="211"/>
      <c r="EA81" s="211"/>
      <c r="EB81" s="211"/>
      <c r="EC81" s="211"/>
      <c r="ED81" s="211"/>
      <c r="EE81" s="211"/>
      <c r="EF81" s="211"/>
      <c r="EG81" s="211"/>
      <c r="EH81" s="211"/>
      <c r="EI81" s="211"/>
    </row>
    <row r="82" spans="1:49" s="66" customFormat="1" ht="13.5" thickBot="1">
      <c r="A82" s="85"/>
      <c r="B82" s="65"/>
      <c r="C82" s="65"/>
      <c r="D82" s="65"/>
      <c r="E82" s="632"/>
      <c r="F82" s="633"/>
      <c r="G82" s="634"/>
      <c r="H82" s="635"/>
      <c r="I82" s="65"/>
      <c r="J82" s="636" t="s">
        <v>59</v>
      </c>
      <c r="K82" s="741"/>
      <c r="L82" s="713"/>
      <c r="M82" s="711"/>
      <c r="N82" s="714"/>
      <c r="O82" s="770"/>
      <c r="P82" s="787"/>
      <c r="Q82" s="638">
        <f>Q18+Q27+Q36+Q45+Q54+Q63+Q72+Q81</f>
        <v>15.793514</v>
      </c>
      <c r="R82" s="804">
        <f>Q82*3600/S82</f>
        <v>9.999410903974674</v>
      </c>
      <c r="S82" s="652">
        <f>S18+S27+S36+S45+S54+S63+S72+S81</f>
        <v>5686</v>
      </c>
      <c r="T82" s="652">
        <f>T18+T27+T36+T45+T54+T63+T72+T81</f>
        <v>43</v>
      </c>
      <c r="U82" s="652">
        <f>U18+U27+U36+U45+U54+U63+U72+U81</f>
        <v>0</v>
      </c>
      <c r="V82" s="652">
        <f>V18+V27+V36+V45+V54+V63+V72+V81</f>
        <v>0</v>
      </c>
      <c r="W82" s="726">
        <f>W18+W27+W36+W45+W54+W63+W72+W81</f>
        <v>5729</v>
      </c>
      <c r="X82" s="639">
        <f>W82*0.0000115741</f>
        <v>0.0663080189</v>
      </c>
      <c r="Y82" s="640">
        <f>TIMEVALUE($Y$9)+TIMEVALUE(X82)</f>
        <v>0.5902777777777778</v>
      </c>
      <c r="Z82" s="641"/>
      <c r="AA82" s="65"/>
      <c r="AB82" s="642"/>
      <c r="AC82" s="643"/>
      <c r="AD82" s="644" t="e">
        <f>AVERAGE(AD27,AD18,AD36,AD45,AD54,AD63,AD72,AD81)</f>
        <v>#DIV/0!</v>
      </c>
      <c r="AE82" s="637"/>
      <c r="AF82" s="637"/>
      <c r="AG82" s="644"/>
      <c r="AH82" s="639">
        <f>TIMEVALUE(AH18)+TIMEVALUE(AH27)+TIMEVALUE(AH36)+TIMEVALUE(AH45)+TIMEVALUE(AH54)+TIMEVALUE(AH63)+TIMEVALUE(AH72)+TIMEVALUE(AH81)</f>
        <v>0</v>
      </c>
      <c r="AI82" s="639">
        <f>AI18+AI27+AI36+AI45+AI54+AI63+AI72+AI81</f>
        <v>0</v>
      </c>
      <c r="AJ82" s="645">
        <f>ABS(AJ18)+ABS(AJ27)+ABS(AJ36)+ABS(AJ45)+ABS(AJ54)+ABS(AJ63)+ABS(AJ72)+ABS(AJ81)</f>
        <v>0</v>
      </c>
      <c r="AK82" s="646"/>
      <c r="AL82" s="647"/>
      <c r="AM82" s="647"/>
      <c r="AN82" s="648"/>
      <c r="AO82" s="649"/>
      <c r="AP82" s="650"/>
      <c r="AQ82" s="650"/>
      <c r="AR82" s="649"/>
      <c r="AS82" s="650"/>
      <c r="AT82" s="650"/>
      <c r="AU82" s="651"/>
      <c r="AV82" s="651"/>
      <c r="AW82" s="158"/>
    </row>
    <row r="83" spans="1:139" s="79" customFormat="1" ht="13.5" thickBot="1">
      <c r="A83" s="26"/>
      <c r="B83" s="27"/>
      <c r="C83" s="27"/>
      <c r="D83" s="8"/>
      <c r="E83" s="309"/>
      <c r="F83" s="14"/>
      <c r="G83" s="26"/>
      <c r="H83" s="27"/>
      <c r="I83" s="8"/>
      <c r="J83" s="8"/>
      <c r="K83" s="14"/>
      <c r="L83" s="699"/>
      <c r="M83" s="699"/>
      <c r="N83" s="715"/>
      <c r="O83" s="715"/>
      <c r="P83" s="334"/>
      <c r="Q83" s="310"/>
      <c r="R83" s="28"/>
      <c r="S83" s="112"/>
      <c r="T83" s="31"/>
      <c r="U83" s="724"/>
      <c r="V83" s="35"/>
      <c r="W83" s="725"/>
      <c r="X83" s="8"/>
      <c r="Y83" s="27"/>
      <c r="Z83" s="7"/>
      <c r="AA83" s="27"/>
      <c r="AB83" s="557"/>
      <c r="AC83" s="557"/>
      <c r="AD83" s="26"/>
      <c r="AE83" s="27"/>
      <c r="AF83" s="30"/>
      <c r="AG83" s="45" t="s">
        <v>60</v>
      </c>
      <c r="AH83" s="518"/>
      <c r="AI83" s="27"/>
      <c r="AJ83" s="103">
        <f>100*AJ82/$W82</f>
        <v>0</v>
      </c>
      <c r="AK83" s="11"/>
      <c r="AL83" s="59"/>
      <c r="AM83" s="59"/>
      <c r="AN83" s="70"/>
      <c r="AO83" s="70"/>
      <c r="AP83" s="70"/>
      <c r="AQ83" s="70"/>
      <c r="AR83" s="70"/>
      <c r="AS83" s="70"/>
      <c r="AT83" s="70"/>
      <c r="AU83" s="70"/>
      <c r="AV83" s="70"/>
      <c r="AW83" s="47"/>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row>
    <row r="84" spans="1:139" ht="12.75">
      <c r="A84" s="26"/>
      <c r="B84" s="555"/>
      <c r="C84" s="555"/>
      <c r="D84" s="555"/>
      <c r="E84" s="309"/>
      <c r="F84" s="14"/>
      <c r="G84" s="26"/>
      <c r="H84" s="27"/>
      <c r="I84" s="8"/>
      <c r="J84" s="13" t="s">
        <v>61</v>
      </c>
      <c r="K84" s="14"/>
      <c r="L84" s="699"/>
      <c r="M84" s="699"/>
      <c r="O84" s="716"/>
      <c r="P84" s="517"/>
      <c r="Q84" s="1030">
        <v>16.13</v>
      </c>
      <c r="R84" s="28"/>
      <c r="S84" s="112"/>
      <c r="T84" s="31"/>
      <c r="U84" s="31"/>
      <c r="V84" s="771"/>
      <c r="W84" s="105"/>
      <c r="X84" s="8"/>
      <c r="Y84" s="576"/>
      <c r="Z84" s="7"/>
      <c r="AA84" s="27"/>
      <c r="AB84" s="557"/>
      <c r="AC84" s="580"/>
      <c r="AD84" s="135" t="s">
        <v>98</v>
      </c>
      <c r="AE84" s="41">
        <f>AJ84</f>
        <v>0.7383777119236068</v>
      </c>
      <c r="AF84" s="30"/>
      <c r="AG84" s="45" t="s">
        <v>62</v>
      </c>
      <c r="AH84" s="518"/>
      <c r="AI84" s="27"/>
      <c r="AJ84" s="103">
        <f>IF(J6="NO",1,IF(Q85=0,1,IF(Q85&lt;7,0.5796,IF(Q85&gt;23,1.0479,0.5*LN(ROUND(Q85,1))-0.0079*(ROUND(Q85,1))-0.3381))))</f>
        <v>0.7383777119236068</v>
      </c>
      <c r="AK84" s="11"/>
      <c r="AL84" s="59"/>
      <c r="AM84" s="59"/>
      <c r="AN84" s="70"/>
      <c r="AO84" s="70"/>
      <c r="AP84" s="70"/>
      <c r="AQ84" s="70"/>
      <c r="AR84" s="70"/>
      <c r="AS84" s="70"/>
      <c r="AT84" s="70"/>
      <c r="AU84" s="70"/>
      <c r="AV84" s="70"/>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row>
    <row r="85" spans="1:139" ht="13.5" thickBot="1">
      <c r="A85" s="33" t="s">
        <v>200</v>
      </c>
      <c r="B85" s="34"/>
      <c r="C85" s="34"/>
      <c r="D85" s="34"/>
      <c r="E85" s="439"/>
      <c r="F85" s="170"/>
      <c r="G85" s="46"/>
      <c r="H85" s="34"/>
      <c r="I85" s="34"/>
      <c r="J85" s="245" t="s">
        <v>63</v>
      </c>
      <c r="K85" s="170"/>
      <c r="L85" s="717"/>
      <c r="M85" s="717"/>
      <c r="N85" s="718"/>
      <c r="O85" s="719"/>
      <c r="P85" s="788"/>
      <c r="Q85" s="626">
        <f>ROUND(($Q84*3600/$W82),1)</f>
        <v>10.1</v>
      </c>
      <c r="R85" s="40">
        <f>ROUND(($Q84*3600/$W82),3)</f>
        <v>10.136</v>
      </c>
      <c r="S85" s="113"/>
      <c r="T85" s="35"/>
      <c r="U85" s="152"/>
      <c r="V85" s="152"/>
      <c r="W85" s="114"/>
      <c r="X85" s="34"/>
      <c r="Y85" s="618"/>
      <c r="Z85" s="33"/>
      <c r="AA85" s="34"/>
      <c r="AB85" s="559"/>
      <c r="AC85" s="559"/>
      <c r="AD85" s="46"/>
      <c r="AE85" s="34"/>
      <c r="AF85" s="302"/>
      <c r="AG85" s="305" t="s">
        <v>64</v>
      </c>
      <c r="AH85" s="187"/>
      <c r="AI85" s="34"/>
      <c r="AJ85" s="36">
        <f>AJ83*AJ84</f>
        <v>0</v>
      </c>
      <c r="AK85" s="37"/>
      <c r="AL85" s="61"/>
      <c r="AM85" s="61"/>
      <c r="AN85" s="78"/>
      <c r="AO85" s="78"/>
      <c r="AP85" s="78"/>
      <c r="AQ85" s="78"/>
      <c r="AR85" s="78"/>
      <c r="AS85" s="78"/>
      <c r="AT85" s="78"/>
      <c r="AU85" s="78"/>
      <c r="AV85" s="78"/>
      <c r="AW85" s="99"/>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row>
    <row r="86" spans="1:139" ht="13.5" thickBot="1">
      <c r="A86" s="2"/>
      <c r="B86" s="2"/>
      <c r="C86" s="2"/>
      <c r="D86" s="1"/>
      <c r="E86" s="505"/>
      <c r="F86" s="68"/>
      <c r="G86" s="49"/>
      <c r="H86" s="2"/>
      <c r="I86" s="364"/>
      <c r="J86" s="365"/>
      <c r="K86" s="742"/>
      <c r="L86" s="720"/>
      <c r="M86" s="720"/>
      <c r="N86" s="720"/>
      <c r="O86" s="720"/>
      <c r="P86" s="786"/>
      <c r="Q86" s="367"/>
      <c r="R86" s="366"/>
      <c r="S86" s="365"/>
      <c r="T86" s="365"/>
      <c r="U86" s="653"/>
      <c r="V86" s="654"/>
      <c r="W86" s="655"/>
      <c r="X86" s="365"/>
      <c r="Y86" s="365"/>
      <c r="Z86" s="411"/>
      <c r="AA86" s="365"/>
      <c r="AB86" s="588"/>
      <c r="AC86" s="588"/>
      <c r="AD86" s="368"/>
      <c r="AE86" s="365"/>
      <c r="AF86" s="369"/>
      <c r="AG86" s="371"/>
      <c r="AH86" s="831"/>
      <c r="AI86" s="365"/>
      <c r="AJ86" s="365"/>
      <c r="AK86" s="101"/>
      <c r="AL86" s="62"/>
      <c r="AM86" s="62"/>
      <c r="AN86" s="70"/>
      <c r="AO86" s="70"/>
      <c r="AP86" s="70"/>
      <c r="AQ86" s="70"/>
      <c r="AR86" s="70"/>
      <c r="AS86" s="70"/>
      <c r="AT86" s="70"/>
      <c r="AU86" s="70"/>
      <c r="AV86" s="70"/>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row>
    <row r="87" spans="1:139" ht="12.75">
      <c r="A87" t="s">
        <v>240</v>
      </c>
      <c r="I87" s="370"/>
      <c r="J87" s="3"/>
      <c r="L87" s="574"/>
      <c r="M87" s="574"/>
      <c r="N87" s="574"/>
      <c r="O87" s="574"/>
      <c r="P87" s="789"/>
      <c r="Q87" s="624"/>
      <c r="R87" s="268"/>
      <c r="S87" s="3"/>
      <c r="T87" s="3"/>
      <c r="U87" s="3"/>
      <c r="V87" s="3"/>
      <c r="W87" s="625"/>
      <c r="X87" s="3"/>
      <c r="Y87" s="3"/>
      <c r="AG87" s="373"/>
      <c r="AH87" s="832"/>
      <c r="AJ87" s="625"/>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row>
    <row r="88" spans="9:139" ht="12.75">
      <c r="I88" s="104"/>
      <c r="J88" s="3"/>
      <c r="L88" s="574"/>
      <c r="M88" s="574"/>
      <c r="N88" s="574"/>
      <c r="O88" s="574"/>
      <c r="P88" s="789"/>
      <c r="Q88" s="211"/>
      <c r="R88" s="268"/>
      <c r="S88" s="3"/>
      <c r="T88" s="3"/>
      <c r="U88" s="3"/>
      <c r="V88" s="3"/>
      <c r="W88" s="3"/>
      <c r="X88" s="3"/>
      <c r="Y88" s="3"/>
      <c r="AF88" s="303"/>
      <c r="AG88" s="102"/>
      <c r="AH88" s="518"/>
      <c r="AI88" s="27">
        <f>AI82/0.0000115741</f>
        <v>0</v>
      </c>
      <c r="AJ88" s="10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row>
    <row r="89" spans="9:139" ht="12.75">
      <c r="I89" s="7"/>
      <c r="J89" s="122"/>
      <c r="L89" s="574"/>
      <c r="M89" s="574"/>
      <c r="N89" s="574"/>
      <c r="O89" s="574"/>
      <c r="P89" s="789"/>
      <c r="Q89" s="311"/>
      <c r="R89" s="268"/>
      <c r="S89" s="3"/>
      <c r="T89" s="3"/>
      <c r="U89" s="3"/>
      <c r="V89" s="3"/>
      <c r="W89" s="3"/>
      <c r="X89" s="3"/>
      <c r="Y89" s="3"/>
      <c r="AG89" s="102"/>
      <c r="AH89" s="518"/>
      <c r="AI89" s="27"/>
      <c r="AJ89" s="10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row>
    <row r="90" spans="9:139" ht="13.5" thickBot="1">
      <c r="I90" s="33"/>
      <c r="J90" s="245"/>
      <c r="K90" s="744"/>
      <c r="L90" s="718"/>
      <c r="M90" s="718"/>
      <c r="N90" s="718"/>
      <c r="O90" s="718"/>
      <c r="P90" s="790"/>
      <c r="Q90" s="312"/>
      <c r="R90" s="40"/>
      <c r="S90" s="79"/>
      <c r="T90" s="79"/>
      <c r="U90" s="79"/>
      <c r="V90" s="79"/>
      <c r="W90" s="79"/>
      <c r="X90" s="79"/>
      <c r="Y90" s="79"/>
      <c r="Z90" s="412"/>
      <c r="AA90" s="79"/>
      <c r="AB90" s="589"/>
      <c r="AC90" s="589"/>
      <c r="AD90" s="99"/>
      <c r="AE90" s="79"/>
      <c r="AF90" s="79"/>
      <c r="AG90" s="372"/>
      <c r="AH90" s="187"/>
      <c r="AI90" s="34"/>
      <c r="AJ90" s="36"/>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row>
    <row r="91" spans="16:139" ht="12.75">
      <c r="P91" s="791"/>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row>
    <row r="92" spans="3:139" ht="12.75">
      <c r="C92" s="617"/>
      <c r="P92" s="791"/>
      <c r="Q92" s="620"/>
      <c r="R92" s="425"/>
      <c r="S92" s="425"/>
      <c r="T92" s="425"/>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row>
    <row r="93" spans="16:139" ht="12.75">
      <c r="P93" s="791"/>
      <c r="Q93" s="620"/>
      <c r="R93" s="425"/>
      <c r="S93" s="425"/>
      <c r="T93" s="425"/>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row>
    <row r="94" spans="16:139" ht="12.75">
      <c r="P94" s="791"/>
      <c r="Q94" s="620"/>
      <c r="R94" s="425"/>
      <c r="S94" s="425"/>
      <c r="T94" s="426"/>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row>
    <row r="95" spans="16:139" ht="12.75">
      <c r="P95" s="791"/>
      <c r="Q95" s="621"/>
      <c r="R95" s="426"/>
      <c r="S95" s="425"/>
      <c r="T95" s="425"/>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row>
    <row r="96" spans="16:139" ht="12.75">
      <c r="P96" s="791"/>
      <c r="Q96" s="621"/>
      <c r="R96" s="426"/>
      <c r="S96" s="425"/>
      <c r="T96" s="425"/>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row>
    <row r="97" spans="16:139" ht="12.75">
      <c r="P97"/>
      <c r="Q97" s="621"/>
      <c r="R97" s="426"/>
      <c r="S97" s="425"/>
      <c r="T97" s="425"/>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row>
    <row r="98" spans="16:139" ht="12.75">
      <c r="P98"/>
      <c r="Q98" s="621"/>
      <c r="R98" s="426"/>
      <c r="S98" s="425"/>
      <c r="T98" s="425"/>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row>
    <row r="99" spans="16:139" ht="12.75">
      <c r="P99"/>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row>
    <row r="100" spans="16:139" ht="12.75">
      <c r="P100"/>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row>
    <row r="101" spans="16:139" ht="12.75">
      <c r="P101"/>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row>
    <row r="102" spans="16:139" ht="12.75">
      <c r="P102"/>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row>
    <row r="103" spans="16:139" ht="12.75">
      <c r="P10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row>
    <row r="104" spans="16:139" ht="12.75">
      <c r="P104"/>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row>
    <row r="105" spans="16:139" ht="12.75">
      <c r="P105"/>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row>
    <row r="106" spans="16:139" ht="12.75">
      <c r="P106"/>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row>
    <row r="107" spans="16:139" ht="12.75">
      <c r="P107"/>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row>
    <row r="108" spans="16:139" ht="12.75">
      <c r="P108"/>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row>
    <row r="109" spans="16:139" ht="12.75">
      <c r="P109"/>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row>
    <row r="110" spans="16:139" ht="12.75">
      <c r="P110"/>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row>
    <row r="111" spans="16:139" ht="12.75">
      <c r="P111"/>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row>
    <row r="112" spans="16:139" ht="12.75">
      <c r="P112"/>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row>
    <row r="113" spans="16:139" ht="12.75">
      <c r="P113"/>
      <c r="AO113" s="414"/>
      <c r="AP113" s="414"/>
      <c r="AQ113" s="414"/>
      <c r="AR113" s="414"/>
      <c r="AS113" s="414"/>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row>
    <row r="114" spans="16:139" ht="12.75">
      <c r="P114"/>
      <c r="AO114" s="414"/>
      <c r="AP114" s="414"/>
      <c r="AQ114" s="414"/>
      <c r="AR114" s="414"/>
      <c r="AS114" s="414"/>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row>
    <row r="115" spans="16:139" ht="12.75">
      <c r="P115"/>
      <c r="AO115" s="414"/>
      <c r="AP115" s="414"/>
      <c r="AQ115" s="414"/>
      <c r="AR115" s="414"/>
      <c r="AS115" s="414"/>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row>
    <row r="116" spans="16:139" ht="12.75">
      <c r="P116"/>
      <c r="AO116" s="414"/>
      <c r="AP116" s="414"/>
      <c r="AQ116" s="414"/>
      <c r="AR116" s="414"/>
      <c r="AS116" s="414"/>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row>
    <row r="117" spans="16:139" ht="12.75">
      <c r="P117"/>
      <c r="AO117" s="414"/>
      <c r="AP117" s="414"/>
      <c r="AQ117" s="414"/>
      <c r="AR117" s="414"/>
      <c r="AS117" s="414"/>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row>
    <row r="118" spans="16:139" ht="12.75">
      <c r="P118"/>
      <c r="AO118" s="414"/>
      <c r="AP118" s="414"/>
      <c r="AQ118" s="414"/>
      <c r="AR118" s="414"/>
      <c r="AS118" s="414"/>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row>
    <row r="119" spans="16:139" ht="12.75">
      <c r="P119"/>
      <c r="AO119" s="414"/>
      <c r="AP119" s="414"/>
      <c r="AQ119" s="414"/>
      <c r="AR119" s="414"/>
      <c r="AS119" s="414"/>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row>
    <row r="120" spans="16:139" ht="12.75">
      <c r="P120"/>
      <c r="AO120" s="414"/>
      <c r="AP120" s="414"/>
      <c r="AQ120" s="414"/>
      <c r="AR120" s="414"/>
      <c r="AS120" s="414"/>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row>
    <row r="121" spans="16:139" ht="12.75">
      <c r="P121"/>
      <c r="AO121" s="414"/>
      <c r="AP121" s="414"/>
      <c r="AQ121" s="414"/>
      <c r="AR121" s="414"/>
      <c r="AS121" s="414"/>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row>
    <row r="122" spans="16:139" ht="12.75">
      <c r="P122"/>
      <c r="AO122" s="414"/>
      <c r="AP122" s="414"/>
      <c r="AQ122" s="414"/>
      <c r="AR122" s="414"/>
      <c r="AS122" s="414"/>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row>
    <row r="123" spans="16:139" ht="12.75">
      <c r="P123"/>
      <c r="AO123" s="414"/>
      <c r="AP123" s="414"/>
      <c r="AQ123" s="414"/>
      <c r="AR123" s="414"/>
      <c r="AS123" s="414"/>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row>
    <row r="124" spans="16:139" ht="12.75">
      <c r="P124"/>
      <c r="AO124" s="414"/>
      <c r="AP124" s="414"/>
      <c r="AQ124" s="414"/>
      <c r="AR124" s="414"/>
      <c r="AS124" s="414"/>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row>
    <row r="125" spans="16:139" ht="12.75">
      <c r="P125"/>
      <c r="AO125" s="414"/>
      <c r="AP125" s="414"/>
      <c r="AQ125" s="414"/>
      <c r="AR125" s="414"/>
      <c r="AS125" s="414"/>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row>
    <row r="126" spans="16:139" ht="12.75">
      <c r="P126"/>
      <c r="AO126" s="414"/>
      <c r="AP126" s="414"/>
      <c r="AQ126" s="414"/>
      <c r="AR126" s="414"/>
      <c r="AS126" s="414"/>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row>
    <row r="127" spans="16:139" ht="12.75">
      <c r="P127"/>
      <c r="AO127" s="414"/>
      <c r="AP127" s="414"/>
      <c r="AQ127" s="414"/>
      <c r="AR127" s="414"/>
      <c r="AS127" s="414"/>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row>
  </sheetData>
  <sheetProtection/>
  <mergeCells count="2">
    <mergeCell ref="M3:O3"/>
    <mergeCell ref="M4:O4"/>
  </mergeCells>
  <conditionalFormatting sqref="N55:N81 A13:L18 N10:N17 N19:N26 N28:N35 N37:N44 N46:N53 O13:Q18 A10:C12 E10:J12 L10:L12 O10:P12 A22:L27 A19:A21 E19:J21 L19:L21 O22:Q27 O19:P21 A31:L36 A28:A30 E28:J30 L28:L30 O31:Q36 O28:P30 A42:L45 A37:A41 E37:J41 L37:L41 O42:Q45 O37:P41 A49:L81 A46:A48 E46:J48 L46:L48 O49:Q81 O46:P48">
    <cfRule type="expression" priority="1" dxfId="10" stopIfTrue="1">
      <formula>$A10="SLOW"</formula>
    </cfRule>
    <cfRule type="expression" priority="2" dxfId="11" stopIfTrue="1">
      <formula>$C10&lt;&gt;("")</formula>
    </cfRule>
  </conditionalFormatting>
  <conditionalFormatting sqref="AK10:AM82 R10:R82 S28:S82 T55:T62 T64:T82 S10:T26 T28:T35 T46:T53 T37:T44 V10:AI82">
    <cfRule type="expression" priority="3" dxfId="11" stopIfTrue="1">
      <formula>$C10&lt;&gt;("")</formula>
    </cfRule>
  </conditionalFormatting>
  <conditionalFormatting sqref="N18 N27 N36 N45 N54">
    <cfRule type="expression" priority="4" dxfId="5" stopIfTrue="1">
      <formula>$A18="SLOW"</formula>
    </cfRule>
  </conditionalFormatting>
  <conditionalFormatting sqref="M10:M81">
    <cfRule type="expression" priority="5" dxfId="10" stopIfTrue="1">
      <formula>$A10="SLOW"</formula>
    </cfRule>
    <cfRule type="cellIs" priority="6" dxfId="12" operator="lessThan" stopIfTrue="1">
      <formula>0</formula>
    </cfRule>
    <cfRule type="expression" priority="7" dxfId="11" stopIfTrue="1">
      <formula>$C10&lt;&gt;("")</formula>
    </cfRule>
  </conditionalFormatting>
  <conditionalFormatting sqref="U10:U82 AJ10:AJ82 S27:T27 T36 T45 T54 T63">
    <cfRule type="cellIs" priority="8" dxfId="12" operator="lessThan" stopIfTrue="1">
      <formula>0</formula>
    </cfRule>
  </conditionalFormatting>
  <conditionalFormatting sqref="P3">
    <cfRule type="cellIs" priority="9" dxfId="13" operator="greaterThan" stopIfTrue="1">
      <formula>0</formula>
    </cfRule>
  </conditionalFormatting>
  <conditionalFormatting sqref="P4">
    <cfRule type="cellIs" priority="10" dxfId="14" operator="lessThan" stopIfTrue="1">
      <formula>0</formula>
    </cfRule>
  </conditionalFormatting>
  <hyperlinks>
    <hyperlink ref="G3" r:id="rId1" display="BobL@lindal.com"/>
  </hyperlinks>
  <printOptions/>
  <pageMargins left="0" right="0" top="0" bottom="0" header="0" footer="0"/>
  <pageSetup fitToWidth="2" fitToHeight="1" horizontalDpi="300" verticalDpi="300" orientation="landscape" pageOrder="overThenDown" scale="49" r:id="rId4"/>
  <headerFooter alignWithMargins="0">
    <oddFooter>&amp;LDoug and Bob Lindal&amp;R  &amp;D</oddFooter>
  </headerFooter>
  <colBreaks count="1" manualBreakCount="1">
    <brk id="18" max="84" man="1"/>
  </colBreaks>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O46"/>
  <sheetViews>
    <sheetView zoomScalePageLayoutView="0" workbookViewId="0" topLeftCell="A1">
      <selection activeCell="D9" sqref="D9:J9"/>
    </sheetView>
  </sheetViews>
  <sheetFormatPr defaultColWidth="9.125" defaultRowHeight="12.75"/>
  <cols>
    <col min="1" max="1" width="2.75390625" style="522" customWidth="1"/>
    <col min="2" max="2" width="13.00390625" style="522" customWidth="1"/>
    <col min="3" max="3" width="6.375" style="522" customWidth="1"/>
    <col min="4" max="4" width="9.125" style="522" customWidth="1"/>
    <col min="5" max="5" width="9.75390625" style="522" customWidth="1"/>
    <col min="6" max="6" width="17.00390625" style="522" customWidth="1"/>
    <col min="7" max="7" width="17.25390625" style="522" customWidth="1"/>
    <col min="8" max="8" width="12.125" style="522" customWidth="1"/>
    <col min="9" max="9" width="1.00390625" style="522" customWidth="1"/>
    <col min="10" max="10" width="5.875" style="522" customWidth="1"/>
    <col min="11" max="12" width="7.625" style="522" customWidth="1"/>
    <col min="13" max="13" width="9.125" style="522" customWidth="1"/>
    <col min="14" max="14" width="2.625" style="522" customWidth="1"/>
    <col min="15" max="15" width="9.125" style="525" customWidth="1"/>
    <col min="16" max="16384" width="9.125" style="522" customWidth="1"/>
  </cols>
  <sheetData>
    <row r="1" spans="1:14" ht="54.75" customHeight="1" thickBot="1">
      <c r="A1" s="526"/>
      <c r="B1" s="1155" t="s">
        <v>339</v>
      </c>
      <c r="C1" s="1156"/>
      <c r="D1" s="1156"/>
      <c r="E1" s="1156"/>
      <c r="F1" s="1156"/>
      <c r="G1" s="1156"/>
      <c r="H1" s="1156"/>
      <c r="I1" s="1156"/>
      <c r="J1" s="1156"/>
      <c r="K1" s="1156"/>
      <c r="L1" s="1156"/>
      <c r="M1" s="1157"/>
      <c r="N1" s="525"/>
    </row>
    <row r="2" spans="1:14" ht="33" customHeight="1" thickBot="1">
      <c r="A2" s="523"/>
      <c r="B2" s="1172" t="s">
        <v>410</v>
      </c>
      <c r="C2" s="1173"/>
      <c r="D2" s="1173"/>
      <c r="E2" s="1173"/>
      <c r="F2" s="1173"/>
      <c r="G2" s="1173"/>
      <c r="H2" s="1173"/>
      <c r="I2" s="1173"/>
      <c r="J2" s="1173"/>
      <c r="K2" s="1173"/>
      <c r="L2" s="1173"/>
      <c r="M2" s="1174"/>
      <c r="N2" s="524"/>
    </row>
    <row r="3" spans="1:14" ht="30" customHeight="1">
      <c r="A3" s="526"/>
      <c r="B3" s="1218" t="s">
        <v>296</v>
      </c>
      <c r="C3" s="1164"/>
      <c r="D3" s="1187" t="str">
        <f>'RACE '!D1</f>
        <v>Enter Contest Name</v>
      </c>
      <c r="E3" s="1188"/>
      <c r="F3" s="1188"/>
      <c r="G3" s="1189"/>
      <c r="H3" s="1163" t="s">
        <v>297</v>
      </c>
      <c r="I3" s="1164"/>
      <c r="J3" s="1175" t="str">
        <f>'RACE '!J2</f>
        <v>xx/xx/xx</v>
      </c>
      <c r="K3" s="1176"/>
      <c r="L3" s="1176"/>
      <c r="M3" s="1177"/>
      <c r="N3" s="525"/>
    </row>
    <row r="4" spans="1:14" ht="30" customHeight="1">
      <c r="A4" s="526"/>
      <c r="B4" s="1165" t="s">
        <v>298</v>
      </c>
      <c r="C4" s="1166"/>
      <c r="D4" s="1225" t="str">
        <f>'RACE '!A2</f>
        <v>Contestant Name</v>
      </c>
      <c r="E4" s="1226"/>
      <c r="F4" s="1226"/>
      <c r="G4" s="1227"/>
      <c r="H4" s="1054" t="s">
        <v>299</v>
      </c>
      <c r="I4" s="1055"/>
      <c r="J4" s="1222" t="str">
        <f>'RACE '!A4</f>
        <v>Boat Name</v>
      </c>
      <c r="K4" s="1223"/>
      <c r="L4" s="1223"/>
      <c r="M4" s="1224"/>
      <c r="N4" s="525"/>
    </row>
    <row r="5" spans="1:14" ht="30" customHeight="1">
      <c r="A5" s="526"/>
      <c r="B5" s="1165" t="s">
        <v>300</v>
      </c>
      <c r="C5" s="1166"/>
      <c r="D5" s="1066" t="str">
        <f>'RACE '!A5</f>
        <v>Navigator/Helmperson Name</v>
      </c>
      <c r="E5" s="1067"/>
      <c r="F5" s="1067"/>
      <c r="G5" s="1068"/>
      <c r="H5" s="1069" t="s">
        <v>301</v>
      </c>
      <c r="I5" s="1070"/>
      <c r="J5" s="1219" t="str">
        <f>'RACE '!A3</f>
        <v>Club</v>
      </c>
      <c r="K5" s="1220"/>
      <c r="L5" s="1220"/>
      <c r="M5" s="1221"/>
      <c r="N5" s="525"/>
    </row>
    <row r="6" spans="1:14" ht="30" customHeight="1" thickBot="1">
      <c r="A6" s="526"/>
      <c r="B6" s="1115" t="s">
        <v>302</v>
      </c>
      <c r="C6" s="1171"/>
      <c r="D6" s="1178" t="str">
        <f>'RACE '!D2</f>
        <v>contestant address</v>
      </c>
      <c r="E6" s="1179"/>
      <c r="F6" s="1179"/>
      <c r="G6" s="937" t="s">
        <v>303</v>
      </c>
      <c r="H6" s="1180" t="str">
        <f>'RACE '!F2</f>
        <v>city, state/prov</v>
      </c>
      <c r="I6" s="1181"/>
      <c r="J6" s="1181"/>
      <c r="K6" s="842" t="s">
        <v>304</v>
      </c>
      <c r="L6" s="1167" t="str">
        <f>'RACE '!H2</f>
        <v>Zip</v>
      </c>
      <c r="M6" s="1168"/>
      <c r="N6" s="525"/>
    </row>
    <row r="7" spans="1:14" ht="30" customHeight="1" thickBot="1">
      <c r="A7" s="526"/>
      <c r="B7" s="1169" t="s">
        <v>305</v>
      </c>
      <c r="C7" s="1170"/>
      <c r="D7" s="1161" t="str">
        <f>'RACE '!G3</f>
        <v>BobL@lindal.com</v>
      </c>
      <c r="E7" s="1162"/>
      <c r="F7" s="1162"/>
      <c r="G7" s="938" t="s">
        <v>306</v>
      </c>
      <c r="H7" s="1152" t="str">
        <f>'RACE '!B6</f>
        <v>xxx</v>
      </c>
      <c r="I7" s="1153"/>
      <c r="J7" s="1154"/>
      <c r="K7" s="1140" t="s">
        <v>307</v>
      </c>
      <c r="L7" s="1141"/>
      <c r="M7" s="1142"/>
      <c r="N7" s="763"/>
    </row>
    <row r="8" spans="1:14" ht="30" customHeight="1" thickBot="1">
      <c r="A8" s="526"/>
      <c r="B8" s="954"/>
      <c r="C8" s="955"/>
      <c r="D8" s="955"/>
      <c r="E8" s="955"/>
      <c r="F8" s="955"/>
      <c r="G8" s="938" t="s">
        <v>409</v>
      </c>
      <c r="H8" s="1152" t="str">
        <f>'RACE '!B7</f>
        <v>zzz</v>
      </c>
      <c r="I8" s="1153"/>
      <c r="J8" s="1154"/>
      <c r="K8" s="1201" t="s">
        <v>308</v>
      </c>
      <c r="L8" s="1202"/>
      <c r="M8" s="1203"/>
      <c r="N8" s="525"/>
    </row>
    <row r="9" spans="1:14" ht="30" customHeight="1" thickBot="1">
      <c r="A9" s="526"/>
      <c r="B9" s="1060" t="s">
        <v>209</v>
      </c>
      <c r="C9" s="1061"/>
      <c r="D9" s="1158" t="str">
        <f>'RACE '!D9</f>
        <v>Start - Green Roof N edge</v>
      </c>
      <c r="E9" s="1159"/>
      <c r="F9" s="1159"/>
      <c r="G9" s="1159"/>
      <c r="H9" s="1159"/>
      <c r="I9" s="1159"/>
      <c r="J9" s="1160"/>
      <c r="K9" s="1198">
        <f>'RACE '!Y9</f>
        <v>0.5239697588777777</v>
      </c>
      <c r="L9" s="1199"/>
      <c r="M9" s="1200"/>
      <c r="N9" s="525"/>
    </row>
    <row r="10" spans="1:14" ht="30" customHeight="1" thickBot="1">
      <c r="A10" s="526"/>
      <c r="B10" s="1210"/>
      <c r="C10" s="1211"/>
      <c r="D10" s="1212"/>
      <c r="E10" s="1212"/>
      <c r="F10" s="1212"/>
      <c r="G10" s="1212"/>
      <c r="H10" s="1212"/>
      <c r="I10" s="1212"/>
      <c r="J10" s="1212"/>
      <c r="K10" s="1146" t="s">
        <v>309</v>
      </c>
      <c r="L10" s="1147"/>
      <c r="M10" s="1148"/>
      <c r="N10" s="525"/>
    </row>
    <row r="11" spans="1:14" ht="30" customHeight="1" thickBot="1">
      <c r="A11" s="526"/>
      <c r="B11" s="1184" t="s">
        <v>310</v>
      </c>
      <c r="C11" s="1185"/>
      <c r="D11" s="1185"/>
      <c r="E11" s="1185"/>
      <c r="F11" s="1185"/>
      <c r="G11" s="1186"/>
      <c r="H11" s="1182" t="s">
        <v>311</v>
      </c>
      <c r="I11" s="1183"/>
      <c r="J11" s="1183"/>
      <c r="K11" s="1228" t="s">
        <v>308</v>
      </c>
      <c r="L11" s="1229"/>
      <c r="M11" s="1230"/>
      <c r="N11" s="525"/>
    </row>
    <row r="12" spans="1:14" ht="30" customHeight="1">
      <c r="A12" s="526"/>
      <c r="B12" s="1216" t="s">
        <v>312</v>
      </c>
      <c r="C12" s="1217"/>
      <c r="D12" s="1195" t="str">
        <f>'RACE '!D18</f>
        <v>CP-1 Colvos Psg Lt #6</v>
      </c>
      <c r="E12" s="1196"/>
      <c r="F12" s="1196"/>
      <c r="G12" s="1197"/>
      <c r="H12" s="1190">
        <f>'RACE '!Q18</f>
        <v>2.85994</v>
      </c>
      <c r="I12" s="1191"/>
      <c r="J12" s="1191"/>
      <c r="K12" s="1192">
        <f>'RACE '!X18</f>
        <v>0.0119328971</v>
      </c>
      <c r="L12" s="1193"/>
      <c r="M12" s="1194"/>
      <c r="N12" s="525"/>
    </row>
    <row r="13" spans="1:14" ht="30" customHeight="1">
      <c r="A13" s="526"/>
      <c r="B13" s="1062" t="s">
        <v>313</v>
      </c>
      <c r="C13" s="1063"/>
      <c r="D13" s="1207" t="str">
        <f>'RACE '!D27</f>
        <v>CP-2 Colvos Light #4</v>
      </c>
      <c r="E13" s="1208"/>
      <c r="F13" s="1208"/>
      <c r="G13" s="1209"/>
      <c r="H13" s="1064">
        <f>'RACE '!Q27</f>
        <v>3.4281870000000003</v>
      </c>
      <c r="I13" s="1065"/>
      <c r="J13" s="1065"/>
      <c r="K13" s="1204">
        <f>'RACE '!X27</f>
        <v>0.014351884</v>
      </c>
      <c r="L13" s="1205"/>
      <c r="M13" s="1206"/>
      <c r="N13" s="525"/>
    </row>
    <row r="14" spans="1:14" ht="30" customHeight="1">
      <c r="A14" s="526"/>
      <c r="B14" s="1062" t="s">
        <v>314</v>
      </c>
      <c r="C14" s="1063"/>
      <c r="D14" s="1231" t="str">
        <f>'RACE '!D36</f>
        <v>CP-3 Colvos Light #5</v>
      </c>
      <c r="E14" s="1232"/>
      <c r="F14" s="1232"/>
      <c r="G14" s="1233"/>
      <c r="H14" s="1073">
        <f>'RACE '!Q36</f>
        <v>2.140876</v>
      </c>
      <c r="I14" s="1074"/>
      <c r="J14" s="1074"/>
      <c r="K14" s="1213">
        <f>'RACE '!X36</f>
        <v>0.0090972426</v>
      </c>
      <c r="L14" s="1214"/>
      <c r="M14" s="1215"/>
      <c r="N14" s="525"/>
    </row>
    <row r="15" spans="1:14" ht="30" customHeight="1">
      <c r="A15" s="526"/>
      <c r="B15" s="1062" t="s">
        <v>315</v>
      </c>
      <c r="C15" s="1063"/>
      <c r="D15" s="1207" t="str">
        <f>'RACE '!D45</f>
        <v>CP-4 Dalco Pt house west end</v>
      </c>
      <c r="E15" s="1208"/>
      <c r="F15" s="1208"/>
      <c r="G15" s="1209"/>
      <c r="H15" s="1064">
        <f>'RACE '!Q45</f>
        <v>4.185046</v>
      </c>
      <c r="I15" s="1065"/>
      <c r="J15" s="1065"/>
      <c r="K15" s="1204">
        <f>'RACE '!X45</f>
        <v>0.0175116133</v>
      </c>
      <c r="L15" s="1205"/>
      <c r="M15" s="1206"/>
      <c r="N15" s="525"/>
    </row>
    <row r="16" spans="1:14" ht="30" customHeight="1">
      <c r="A16" s="526"/>
      <c r="B16" s="1062" t="s">
        <v>316</v>
      </c>
      <c r="C16" s="1063"/>
      <c r="D16" s="1093" t="str">
        <f>'RACE '!D54</f>
        <v>Finish - Beach House E of GH Lighthouse</v>
      </c>
      <c r="E16" s="1094"/>
      <c r="F16" s="1094"/>
      <c r="G16" s="1095"/>
      <c r="H16" s="1073">
        <f>'RACE '!Q54</f>
        <v>3.1794650000000004</v>
      </c>
      <c r="I16" s="1074"/>
      <c r="J16" s="1074"/>
      <c r="K16" s="1149">
        <f>'RACE '!X54</f>
        <v>0.0134143819</v>
      </c>
      <c r="L16" s="1150"/>
      <c r="M16" s="1151"/>
      <c r="N16" s="525"/>
    </row>
    <row r="17" spans="1:14" ht="30" customHeight="1">
      <c r="A17" s="526"/>
      <c r="B17" s="1062" t="s">
        <v>317</v>
      </c>
      <c r="C17" s="1063"/>
      <c r="D17" s="1121">
        <f>'RACE '!D63</f>
      </c>
      <c r="E17" s="1122"/>
      <c r="F17" s="1122"/>
      <c r="G17" s="1123"/>
      <c r="H17" s="1064">
        <f>'RACE '!Q63</f>
        <v>0</v>
      </c>
      <c r="I17" s="1065"/>
      <c r="J17" s="1065"/>
      <c r="K17" s="1090">
        <f>'RACE '!X63</f>
        <v>0</v>
      </c>
      <c r="L17" s="1091"/>
      <c r="M17" s="1092"/>
      <c r="N17" s="525"/>
    </row>
    <row r="18" spans="1:14" ht="30" customHeight="1">
      <c r="A18" s="526"/>
      <c r="B18" s="1062" t="s">
        <v>318</v>
      </c>
      <c r="C18" s="1063"/>
      <c r="D18" s="1105">
        <f>'RACE '!D72</f>
      </c>
      <c r="E18" s="1106"/>
      <c r="F18" s="1106"/>
      <c r="G18" s="1107"/>
      <c r="H18" s="1064">
        <f>'RACE '!Q72</f>
        <v>0</v>
      </c>
      <c r="I18" s="1065"/>
      <c r="J18" s="1065"/>
      <c r="K18" s="1090">
        <f>'RACE '!X72</f>
        <v>0</v>
      </c>
      <c r="L18" s="1091"/>
      <c r="M18" s="1092"/>
      <c r="N18" s="525"/>
    </row>
    <row r="19" spans="1:14" ht="30" customHeight="1" thickBot="1">
      <c r="A19" s="526"/>
      <c r="B19" s="1096" t="s">
        <v>319</v>
      </c>
      <c r="C19" s="1097"/>
      <c r="D19" s="1108">
        <f>'RACE '!D81</f>
      </c>
      <c r="E19" s="1109"/>
      <c r="F19" s="1109"/>
      <c r="G19" s="1110"/>
      <c r="H19" s="1071">
        <f>'RACE '!Q81</f>
        <v>0</v>
      </c>
      <c r="I19" s="1072"/>
      <c r="J19" s="1072"/>
      <c r="K19" s="1118">
        <f>'RACE '!X81</f>
        <v>0</v>
      </c>
      <c r="L19" s="1119"/>
      <c r="M19" s="1120"/>
      <c r="N19" s="525"/>
    </row>
    <row r="20" spans="1:14" ht="30" customHeight="1" thickBot="1">
      <c r="A20" s="526"/>
      <c r="B20" s="1111" t="s">
        <v>320</v>
      </c>
      <c r="C20" s="1112"/>
      <c r="D20" s="1113"/>
      <c r="E20" s="1113"/>
      <c r="F20" s="1113"/>
      <c r="G20" s="1114"/>
      <c r="H20" s="1081">
        <f>'RACE '!Q82</f>
        <v>15.793514</v>
      </c>
      <c r="I20" s="1082"/>
      <c r="J20" s="1083"/>
      <c r="K20" s="1084"/>
      <c r="L20" s="1085"/>
      <c r="M20" s="1086"/>
      <c r="N20" s="525"/>
    </row>
    <row r="21" spans="1:14" ht="30" customHeight="1" thickBot="1">
      <c r="A21" s="526"/>
      <c r="B21" s="1056" t="s">
        <v>321</v>
      </c>
      <c r="C21" s="1057"/>
      <c r="D21" s="1058"/>
      <c r="E21" s="1058"/>
      <c r="F21" s="1058"/>
      <c r="G21" s="1059"/>
      <c r="H21" s="1087">
        <f>'RACE '!Q84</f>
        <v>16.13</v>
      </c>
      <c r="I21" s="1088"/>
      <c r="J21" s="1089"/>
      <c r="K21" s="1084"/>
      <c r="L21" s="1085"/>
      <c r="M21" s="1086"/>
      <c r="N21" s="525"/>
    </row>
    <row r="22" spans="1:14" ht="30" customHeight="1" thickBot="1">
      <c r="A22" s="526"/>
      <c r="B22" s="1075" t="s">
        <v>322</v>
      </c>
      <c r="C22" s="1076"/>
      <c r="D22" s="1076"/>
      <c r="E22" s="1076"/>
      <c r="F22" s="1076"/>
      <c r="G22" s="1076"/>
      <c r="H22" s="1076"/>
      <c r="I22" s="1076"/>
      <c r="J22" s="1077"/>
      <c r="K22" s="1078">
        <f>'RACE '!X82</f>
        <v>0.0663080189</v>
      </c>
      <c r="L22" s="1079"/>
      <c r="M22" s="1080"/>
      <c r="N22" s="525"/>
    </row>
    <row r="23" spans="1:14" ht="30" customHeight="1" thickBot="1">
      <c r="A23" s="526"/>
      <c r="B23" s="1115" t="s">
        <v>323</v>
      </c>
      <c r="C23" s="1116"/>
      <c r="D23" s="1116"/>
      <c r="E23" s="1116"/>
      <c r="F23" s="1116"/>
      <c r="G23" s="1116"/>
      <c r="H23" s="1116"/>
      <c r="I23" s="1116"/>
      <c r="J23" s="1117"/>
      <c r="K23" s="1133">
        <f>'RACE '!W82</f>
        <v>5729</v>
      </c>
      <c r="L23" s="1088"/>
      <c r="M23" s="1089"/>
      <c r="N23" s="525"/>
    </row>
    <row r="24" spans="1:14" ht="30" customHeight="1" thickBot="1">
      <c r="A24" s="526"/>
      <c r="B24" s="1143" t="s">
        <v>324</v>
      </c>
      <c r="C24" s="1144"/>
      <c r="D24" s="1144"/>
      <c r="E24" s="1144"/>
      <c r="F24" s="1144"/>
      <c r="G24" s="1144"/>
      <c r="H24" s="1144"/>
      <c r="I24" s="1144"/>
      <c r="J24" s="1145"/>
      <c r="K24" s="1078">
        <f>'RACE '!Y82</f>
        <v>0.5902777777777778</v>
      </c>
      <c r="L24" s="1079"/>
      <c r="M24" s="1080"/>
      <c r="N24" s="525"/>
    </row>
    <row r="25" spans="1:14" ht="30" customHeight="1" thickBot="1">
      <c r="A25" s="526"/>
      <c r="B25" s="1136" t="s">
        <v>325</v>
      </c>
      <c r="C25" s="1137"/>
      <c r="D25" s="1127">
        <f>'RACE '!J4</f>
        <v>10</v>
      </c>
      <c r="E25" s="1128"/>
      <c r="F25" s="1129"/>
      <c r="G25" s="848" t="s">
        <v>326</v>
      </c>
      <c r="H25" s="939">
        <f>'RACE '!J5</f>
        <v>7</v>
      </c>
      <c r="I25" s="1134" t="s">
        <v>327</v>
      </c>
      <c r="J25" s="1135"/>
      <c r="K25" s="1135"/>
      <c r="L25" s="1138">
        <f>'RACE '!R2</f>
        <v>3</v>
      </c>
      <c r="M25" s="1139"/>
      <c r="N25" s="525"/>
    </row>
    <row r="26" spans="1:14" ht="6" customHeight="1" thickBot="1">
      <c r="A26" s="526"/>
      <c r="B26" s="1130"/>
      <c r="C26" s="1131"/>
      <c r="D26" s="1131"/>
      <c r="E26" s="1131"/>
      <c r="F26" s="1131"/>
      <c r="G26" s="1131"/>
      <c r="H26" s="1131"/>
      <c r="I26" s="1131"/>
      <c r="J26" s="1131"/>
      <c r="K26" s="1131"/>
      <c r="L26" s="1131"/>
      <c r="M26" s="1132"/>
      <c r="N26" s="525"/>
    </row>
    <row r="27" spans="1:14" ht="30" customHeight="1">
      <c r="A27" s="526"/>
      <c r="B27" s="1124" t="s">
        <v>107</v>
      </c>
      <c r="C27" s="1125"/>
      <c r="D27" s="1125"/>
      <c r="E27" s="1125"/>
      <c r="F27" s="1125"/>
      <c r="G27" s="1125"/>
      <c r="H27" s="1125"/>
      <c r="I27" s="1125"/>
      <c r="J27" s="1125"/>
      <c r="K27" s="1125"/>
      <c r="L27" s="1125"/>
      <c r="M27" s="1126"/>
      <c r="N27" s="525"/>
    </row>
    <row r="28" spans="1:14" ht="19.5" customHeight="1">
      <c r="A28" s="526"/>
      <c r="B28" s="1098" t="s">
        <v>340</v>
      </c>
      <c r="C28" s="1099"/>
      <c r="D28" s="1099"/>
      <c r="E28" s="1099"/>
      <c r="F28" s="1099"/>
      <c r="G28" s="1099"/>
      <c r="H28" s="1099"/>
      <c r="I28" s="1099"/>
      <c r="J28" s="1099"/>
      <c r="K28" s="1099"/>
      <c r="L28" s="1099"/>
      <c r="M28" s="1100"/>
      <c r="N28" s="525"/>
    </row>
    <row r="29" spans="1:14" ht="19.5" customHeight="1">
      <c r="A29" s="526"/>
      <c r="B29" s="1101"/>
      <c r="C29" s="1099"/>
      <c r="D29" s="1099"/>
      <c r="E29" s="1099"/>
      <c r="F29" s="1099"/>
      <c r="G29" s="1099"/>
      <c r="H29" s="1099"/>
      <c r="I29" s="1099"/>
      <c r="J29" s="1099"/>
      <c r="K29" s="1099"/>
      <c r="L29" s="1099"/>
      <c r="M29" s="1100"/>
      <c r="N29" s="525"/>
    </row>
    <row r="30" spans="1:14" ht="19.5" customHeight="1">
      <c r="A30" s="526"/>
      <c r="B30" s="1101"/>
      <c r="C30" s="1099"/>
      <c r="D30" s="1099"/>
      <c r="E30" s="1099"/>
      <c r="F30" s="1099"/>
      <c r="G30" s="1099"/>
      <c r="H30" s="1099"/>
      <c r="I30" s="1099"/>
      <c r="J30" s="1099"/>
      <c r="K30" s="1099"/>
      <c r="L30" s="1099"/>
      <c r="M30" s="1100"/>
      <c r="N30" s="525"/>
    </row>
    <row r="31" spans="1:14" ht="52.5" customHeight="1" thickBot="1">
      <c r="A31" s="526"/>
      <c r="B31" s="1102"/>
      <c r="C31" s="1103"/>
      <c r="D31" s="1103"/>
      <c r="E31" s="1103"/>
      <c r="F31" s="1103"/>
      <c r="G31" s="1103"/>
      <c r="H31" s="1103"/>
      <c r="I31" s="1103"/>
      <c r="J31" s="1103"/>
      <c r="K31" s="1103"/>
      <c r="L31" s="1103"/>
      <c r="M31" s="1104"/>
      <c r="N31" s="525"/>
    </row>
    <row r="32" spans="1:15" s="852" customFormat="1" ht="30" customHeight="1">
      <c r="A32" s="849"/>
      <c r="B32" s="1051" t="s">
        <v>328</v>
      </c>
      <c r="C32" s="1052"/>
      <c r="D32" s="1052"/>
      <c r="E32" s="1052"/>
      <c r="F32" s="1052"/>
      <c r="G32" s="1052"/>
      <c r="H32" s="1053"/>
      <c r="I32" s="1048" t="s">
        <v>407</v>
      </c>
      <c r="J32" s="1049"/>
      <c r="K32" s="1050"/>
      <c r="L32" s="1039"/>
      <c r="M32" s="1040"/>
      <c r="N32" s="851"/>
      <c r="O32" s="851"/>
    </row>
    <row r="33" spans="1:15" s="852" customFormat="1" ht="30" customHeight="1" hidden="1" thickBot="1">
      <c r="A33" s="849"/>
      <c r="B33" s="1043" t="s">
        <v>331</v>
      </c>
      <c r="C33" s="1044"/>
      <c r="D33" s="1044"/>
      <c r="E33" s="1044"/>
      <c r="F33" s="1044"/>
      <c r="G33" s="1044"/>
      <c r="H33" s="853" t="s">
        <v>329</v>
      </c>
      <c r="I33" s="1045"/>
      <c r="J33" s="1045"/>
      <c r="K33" s="853" t="s">
        <v>330</v>
      </c>
      <c r="L33" s="1041"/>
      <c r="M33" s="1042"/>
      <c r="N33" s="851"/>
      <c r="O33" s="851"/>
    </row>
    <row r="34" spans="1:15" s="852" customFormat="1" ht="30" customHeight="1" thickBot="1">
      <c r="A34" s="849"/>
      <c r="B34" s="1046" t="s">
        <v>332</v>
      </c>
      <c r="C34" s="1047"/>
      <c r="D34" s="1047"/>
      <c r="E34" s="1047"/>
      <c r="F34" s="1037"/>
      <c r="G34" s="1037"/>
      <c r="H34" s="1037"/>
      <c r="I34" s="1037"/>
      <c r="J34" s="1037"/>
      <c r="K34" s="1037"/>
      <c r="L34" s="1037"/>
      <c r="M34" s="1038"/>
      <c r="N34" s="851"/>
      <c r="O34" s="851"/>
    </row>
    <row r="35" spans="1:14" ht="16.5" customHeight="1">
      <c r="A35" s="526"/>
      <c r="B35" s="813"/>
      <c r="C35" s="812"/>
      <c r="D35" s="812"/>
      <c r="E35" s="813"/>
      <c r="F35" s="812"/>
      <c r="G35" s="812"/>
      <c r="H35" s="812"/>
      <c r="I35" s="812"/>
      <c r="J35" s="812"/>
      <c r="K35" s="814"/>
      <c r="L35" s="814"/>
      <c r="M35" s="814"/>
      <c r="N35" s="525"/>
    </row>
    <row r="36" spans="2:13" s="525" customFormat="1" ht="17.25" customHeight="1">
      <c r="B36" s="851" t="s">
        <v>333</v>
      </c>
      <c r="J36" s="825"/>
      <c r="K36" s="819"/>
      <c r="L36" s="847"/>
      <c r="M36" s="847"/>
    </row>
    <row r="37" ht="12.75">
      <c r="B37" s="811" t="s">
        <v>334</v>
      </c>
    </row>
    <row r="38" ht="12.75">
      <c r="B38" s="811" t="s">
        <v>335</v>
      </c>
    </row>
    <row r="39" spans="1:8" ht="12.75">
      <c r="A39" s="854"/>
      <c r="B39" s="811" t="s">
        <v>336</v>
      </c>
      <c r="C39" s="855"/>
      <c r="D39" s="855"/>
      <c r="E39" s="854"/>
      <c r="F39" s="854"/>
      <c r="G39" s="854"/>
      <c r="H39" s="854"/>
    </row>
    <row r="40" spans="2:4" ht="12.75">
      <c r="B40" s="811" t="s">
        <v>337</v>
      </c>
      <c r="C40" s="856"/>
      <c r="D40" s="856"/>
    </row>
    <row r="41" ht="12.75">
      <c r="D41" s="810"/>
    </row>
    <row r="43" ht="12.75">
      <c r="D43" s="811"/>
    </row>
    <row r="44" ht="12.75">
      <c r="D44" s="811"/>
    </row>
    <row r="45" ht="13.5" thickBot="1">
      <c r="D45" s="811"/>
    </row>
    <row r="46" spans="4:7" ht="13.5" thickBot="1">
      <c r="D46" s="811"/>
      <c r="G46" s="857"/>
    </row>
  </sheetData>
  <sheetProtection/>
  <mergeCells count="91">
    <mergeCell ref="B16:C16"/>
    <mergeCell ref="B12:C12"/>
    <mergeCell ref="B3:C3"/>
    <mergeCell ref="B5:C5"/>
    <mergeCell ref="J5:M5"/>
    <mergeCell ref="J4:M4"/>
    <mergeCell ref="D4:G4"/>
    <mergeCell ref="K11:M11"/>
    <mergeCell ref="D14:G14"/>
    <mergeCell ref="D15:G15"/>
    <mergeCell ref="K9:M9"/>
    <mergeCell ref="K8:M8"/>
    <mergeCell ref="K13:M13"/>
    <mergeCell ref="D13:G13"/>
    <mergeCell ref="K15:M15"/>
    <mergeCell ref="B10:J10"/>
    <mergeCell ref="B14:C14"/>
    <mergeCell ref="K14:M14"/>
    <mergeCell ref="J3:M3"/>
    <mergeCell ref="D6:F6"/>
    <mergeCell ref="B13:C13"/>
    <mergeCell ref="H6:J6"/>
    <mergeCell ref="H11:J11"/>
    <mergeCell ref="B11:G11"/>
    <mergeCell ref="D3:G3"/>
    <mergeCell ref="H12:J12"/>
    <mergeCell ref="K12:M12"/>
    <mergeCell ref="D12:G12"/>
    <mergeCell ref="B1:M1"/>
    <mergeCell ref="D9:J9"/>
    <mergeCell ref="D7:F7"/>
    <mergeCell ref="H7:J7"/>
    <mergeCell ref="H3:I3"/>
    <mergeCell ref="B4:C4"/>
    <mergeCell ref="L6:M6"/>
    <mergeCell ref="B7:C7"/>
    <mergeCell ref="B6:C6"/>
    <mergeCell ref="B2:M2"/>
    <mergeCell ref="K7:M7"/>
    <mergeCell ref="H17:J17"/>
    <mergeCell ref="H13:J13"/>
    <mergeCell ref="H14:J14"/>
    <mergeCell ref="K24:M24"/>
    <mergeCell ref="B24:J24"/>
    <mergeCell ref="K10:M10"/>
    <mergeCell ref="K17:M17"/>
    <mergeCell ref="K16:M16"/>
    <mergeCell ref="H8:J8"/>
    <mergeCell ref="D17:G17"/>
    <mergeCell ref="B27:M27"/>
    <mergeCell ref="D25:F25"/>
    <mergeCell ref="B26:M26"/>
    <mergeCell ref="K23:M23"/>
    <mergeCell ref="I25:K25"/>
    <mergeCell ref="B25:C25"/>
    <mergeCell ref="L25:M25"/>
    <mergeCell ref="B28:M31"/>
    <mergeCell ref="D18:G18"/>
    <mergeCell ref="D19:G19"/>
    <mergeCell ref="K20:M20"/>
    <mergeCell ref="B20:G20"/>
    <mergeCell ref="B23:J23"/>
    <mergeCell ref="K19:M19"/>
    <mergeCell ref="H16:J16"/>
    <mergeCell ref="B22:J22"/>
    <mergeCell ref="K22:M22"/>
    <mergeCell ref="H20:J20"/>
    <mergeCell ref="K21:M21"/>
    <mergeCell ref="H21:J21"/>
    <mergeCell ref="H18:J18"/>
    <mergeCell ref="K18:M18"/>
    <mergeCell ref="D16:G16"/>
    <mergeCell ref="B19:C19"/>
    <mergeCell ref="H4:I4"/>
    <mergeCell ref="B21:G21"/>
    <mergeCell ref="B9:C9"/>
    <mergeCell ref="B18:C18"/>
    <mergeCell ref="H15:J15"/>
    <mergeCell ref="D5:G5"/>
    <mergeCell ref="H5:I5"/>
    <mergeCell ref="H19:J19"/>
    <mergeCell ref="B15:C15"/>
    <mergeCell ref="B17:C17"/>
    <mergeCell ref="F34:M34"/>
    <mergeCell ref="L32:M32"/>
    <mergeCell ref="L33:M33"/>
    <mergeCell ref="B33:G33"/>
    <mergeCell ref="I33:J33"/>
    <mergeCell ref="B34:E34"/>
    <mergeCell ref="I32:K32"/>
    <mergeCell ref="B32:H32"/>
  </mergeCells>
  <printOptions horizontalCentered="1" verticalCentered="1"/>
  <pageMargins left="0.39" right="0.25" top="0.3" bottom="0.34" header="0" footer="0"/>
  <pageSetup fitToHeight="1" fitToWidth="1" horizontalDpi="600" verticalDpi="600" orientation="portrait" scale="77" r:id="rId1"/>
</worksheet>
</file>

<file path=xl/worksheets/sheet4.xml><?xml version="1.0" encoding="utf-8"?>
<worksheet xmlns="http://schemas.openxmlformats.org/spreadsheetml/2006/main" xmlns:r="http://schemas.openxmlformats.org/officeDocument/2006/relationships">
  <sheetPr>
    <pageSetUpPr fitToPage="1"/>
  </sheetPr>
  <dimension ref="B1:AG48"/>
  <sheetViews>
    <sheetView zoomScalePageLayoutView="0" workbookViewId="0" topLeftCell="A1">
      <selection activeCell="AE12" sqref="AE12"/>
    </sheetView>
  </sheetViews>
  <sheetFormatPr defaultColWidth="9.125" defaultRowHeight="12.75"/>
  <cols>
    <col min="1" max="1" width="1.00390625" style="522" customWidth="1"/>
    <col min="2" max="2" width="4.50390625" style="522" customWidth="1"/>
    <col min="3" max="3" width="3.50390625" style="522" customWidth="1"/>
    <col min="4" max="4" width="9.875" style="522" customWidth="1"/>
    <col min="5" max="5" width="9.75390625" style="522" customWidth="1"/>
    <col min="6" max="6" width="11.50390625" style="522" customWidth="1"/>
    <col min="7" max="7" width="8.625" style="522" customWidth="1"/>
    <col min="8" max="8" width="3.375" style="522" customWidth="1"/>
    <col min="9" max="9" width="11.75390625" style="522" customWidth="1"/>
    <col min="10" max="10" width="2.50390625" style="522" customWidth="1"/>
    <col min="11" max="11" width="6.25390625" style="522" customWidth="1"/>
    <col min="12" max="12" width="5.00390625" style="522" customWidth="1"/>
    <col min="13" max="13" width="7.625" style="522" customWidth="1"/>
    <col min="14" max="14" width="0.5" style="522" hidden="1" customWidth="1"/>
    <col min="15" max="15" width="0.12890625" style="522" customWidth="1"/>
    <col min="16" max="16" width="5.50390625" style="522" customWidth="1"/>
    <col min="17" max="17" width="2.00390625" style="522" customWidth="1"/>
    <col min="18" max="18" width="8.00390625" style="522" customWidth="1"/>
    <col min="19" max="19" width="1.00390625" style="522" customWidth="1"/>
    <col min="20" max="20" width="2.50390625" style="522" customWidth="1"/>
    <col min="21" max="21" width="4.875" style="522" customWidth="1"/>
    <col min="22" max="22" width="1.625" style="522" customWidth="1"/>
    <col min="23" max="23" width="1.00390625" style="522" hidden="1" customWidth="1"/>
    <col min="24" max="25" width="6.75390625" style="522" customWidth="1"/>
    <col min="26" max="26" width="2.625" style="522" customWidth="1"/>
    <col min="27" max="27" width="5.00390625" style="522" customWidth="1"/>
    <col min="28" max="28" width="5.875" style="522" customWidth="1"/>
    <col min="29" max="29" width="0.74609375" style="522" customWidth="1"/>
    <col min="30" max="30" width="7.25390625" style="522" customWidth="1"/>
    <col min="31" max="31" width="10.50390625" style="522" customWidth="1"/>
    <col min="32" max="16384" width="9.125" style="522" customWidth="1"/>
  </cols>
  <sheetData>
    <row r="1" spans="2:31" ht="176.25" customHeight="1" thickBot="1">
      <c r="B1" s="1386" t="s">
        <v>402</v>
      </c>
      <c r="C1" s="1387"/>
      <c r="D1" s="1387"/>
      <c r="E1" s="1387"/>
      <c r="F1" s="1387"/>
      <c r="G1" s="1387"/>
      <c r="H1" s="1387"/>
      <c r="I1" s="1387"/>
      <c r="J1" s="1387"/>
      <c r="K1" s="1387"/>
      <c r="L1" s="1387"/>
      <c r="M1" s="1387"/>
      <c r="N1" s="1387"/>
      <c r="O1" s="1387"/>
      <c r="P1" s="1387"/>
      <c r="Q1" s="1387"/>
      <c r="R1" s="1387"/>
      <c r="S1" s="1387"/>
      <c r="T1" s="1387"/>
      <c r="U1" s="1387"/>
      <c r="V1" s="1387"/>
      <c r="W1" s="1387"/>
      <c r="X1" s="1387"/>
      <c r="Y1" s="1387"/>
      <c r="Z1" s="1387"/>
      <c r="AA1" s="1387"/>
      <c r="AB1" s="1387"/>
      <c r="AC1" s="1387"/>
      <c r="AD1" s="1388"/>
      <c r="AE1" s="525"/>
    </row>
    <row r="2" spans="2:31" ht="30.75" customHeight="1" thickBot="1">
      <c r="B2" s="1382" t="s">
        <v>405</v>
      </c>
      <c r="C2" s="1383"/>
      <c r="D2" s="1383"/>
      <c r="E2" s="1383"/>
      <c r="F2" s="1383"/>
      <c r="G2" s="1383"/>
      <c r="H2" s="1383"/>
      <c r="I2" s="1383"/>
      <c r="J2" s="1383"/>
      <c r="K2" s="1383"/>
      <c r="L2" s="1383"/>
      <c r="M2" s="1383"/>
      <c r="N2" s="1384"/>
      <c r="O2" s="1384"/>
      <c r="P2" s="1384"/>
      <c r="Q2" s="1384"/>
      <c r="R2" s="1384"/>
      <c r="S2" s="1384"/>
      <c r="T2" s="1384"/>
      <c r="U2" s="1384"/>
      <c r="V2" s="1384"/>
      <c r="W2" s="1384"/>
      <c r="X2" s="1384"/>
      <c r="Y2" s="1384"/>
      <c r="Z2" s="1384"/>
      <c r="AA2" s="1384"/>
      <c r="AB2" s="1384"/>
      <c r="AC2" s="1384"/>
      <c r="AD2" s="1385"/>
      <c r="AE2" s="525"/>
    </row>
    <row r="3" spans="2:31" ht="30" customHeight="1">
      <c r="B3" s="1289" t="s">
        <v>296</v>
      </c>
      <c r="C3" s="1290"/>
      <c r="D3" s="1290"/>
      <c r="E3" s="1290"/>
      <c r="F3" s="1391" t="str">
        <f>'RACE '!D1</f>
        <v>Enter Contest Name</v>
      </c>
      <c r="G3" s="1392"/>
      <c r="H3" s="1392"/>
      <c r="I3" s="1392"/>
      <c r="J3" s="1392"/>
      <c r="K3" s="1392"/>
      <c r="L3" s="1393"/>
      <c r="M3" s="1394" t="s">
        <v>297</v>
      </c>
      <c r="N3" s="1394"/>
      <c r="O3" s="1394"/>
      <c r="P3" s="1394"/>
      <c r="Q3" s="1394"/>
      <c r="R3" s="1394"/>
      <c r="S3" s="1394"/>
      <c r="T3" s="1394"/>
      <c r="U3" s="1257" t="str">
        <f>'RACE '!J2</f>
        <v>xx/xx/xx</v>
      </c>
      <c r="V3" s="1258"/>
      <c r="W3" s="1258"/>
      <c r="X3" s="1258"/>
      <c r="Y3" s="1258"/>
      <c r="Z3" s="1258"/>
      <c r="AA3" s="1258"/>
      <c r="AB3" s="1258"/>
      <c r="AC3" s="1258"/>
      <c r="AD3" s="1259"/>
      <c r="AE3" s="525"/>
    </row>
    <row r="4" spans="2:31" ht="30" customHeight="1">
      <c r="B4" s="1291" t="s">
        <v>298</v>
      </c>
      <c r="C4" s="1292"/>
      <c r="D4" s="1292"/>
      <c r="E4" s="1293"/>
      <c r="F4" s="1247" t="str">
        <f>'RACE '!A2</f>
        <v>Contestant Name</v>
      </c>
      <c r="G4" s="1240"/>
      <c r="H4" s="1240"/>
      <c r="I4" s="1240"/>
      <c r="J4" s="1240"/>
      <c r="K4" s="1240"/>
      <c r="L4" s="1248"/>
      <c r="M4" s="1236" t="s">
        <v>299</v>
      </c>
      <c r="N4" s="1237"/>
      <c r="O4" s="1237"/>
      <c r="P4" s="1237"/>
      <c r="Q4" s="1237"/>
      <c r="R4" s="1237"/>
      <c r="S4" s="1237"/>
      <c r="T4" s="1238"/>
      <c r="U4" s="1239" t="str">
        <f>'RACE '!A4</f>
        <v>Boat Name</v>
      </c>
      <c r="V4" s="1240"/>
      <c r="W4" s="1240"/>
      <c r="X4" s="1240"/>
      <c r="Y4" s="1240"/>
      <c r="Z4" s="1240"/>
      <c r="AA4" s="1240"/>
      <c r="AB4" s="1240"/>
      <c r="AC4" s="1240"/>
      <c r="AD4" s="1241"/>
      <c r="AE4" s="525"/>
    </row>
    <row r="5" spans="2:31" ht="30" customHeight="1" thickBot="1">
      <c r="B5" s="1389" t="s">
        <v>341</v>
      </c>
      <c r="C5" s="1185"/>
      <c r="D5" s="1185"/>
      <c r="E5" s="1185"/>
      <c r="F5" s="1242"/>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4"/>
      <c r="AE5" s="525"/>
    </row>
    <row r="6" spans="2:30" s="527" customFormat="1" ht="30" customHeight="1">
      <c r="B6" s="1363" t="s">
        <v>342</v>
      </c>
      <c r="C6" s="1364"/>
      <c r="D6" s="1249" t="s">
        <v>343</v>
      </c>
      <c r="E6" s="1296"/>
      <c r="F6" s="1249" t="s">
        <v>344</v>
      </c>
      <c r="G6" s="1296"/>
      <c r="H6" s="1297"/>
      <c r="I6" s="1298"/>
      <c r="J6" s="859" t="s">
        <v>207</v>
      </c>
      <c r="K6" s="860"/>
      <c r="L6" s="1245" t="s">
        <v>345</v>
      </c>
      <c r="M6" s="1246"/>
      <c r="N6" s="1246"/>
      <c r="O6" s="1249" t="s">
        <v>346</v>
      </c>
      <c r="P6" s="1249"/>
      <c r="Q6" s="1249"/>
      <c r="R6" s="1249"/>
      <c r="S6" s="1294" t="s">
        <v>347</v>
      </c>
      <c r="T6" s="1295"/>
      <c r="U6" s="1295"/>
      <c r="V6" s="1295"/>
      <c r="W6" s="861"/>
      <c r="X6" s="1245" t="s">
        <v>348</v>
      </c>
      <c r="Y6" s="1246"/>
      <c r="Z6" s="1246"/>
      <c r="AA6" s="1249" t="s">
        <v>346</v>
      </c>
      <c r="AB6" s="1249"/>
      <c r="AC6" s="1249"/>
      <c r="AD6" s="1250"/>
    </row>
    <row r="7" spans="2:30" s="527" customFormat="1" ht="30" customHeight="1">
      <c r="B7" s="1365"/>
      <c r="C7" s="1366"/>
      <c r="D7" s="862" t="s">
        <v>220</v>
      </c>
      <c r="E7" s="862" t="s">
        <v>103</v>
      </c>
      <c r="F7" s="862" t="s">
        <v>220</v>
      </c>
      <c r="G7" s="1256" t="s">
        <v>103</v>
      </c>
      <c r="H7" s="1390"/>
      <c r="I7" s="1298"/>
      <c r="J7" s="863">
        <v>1</v>
      </c>
      <c r="K7" s="944">
        <f>'RACE '!AY10</f>
        <v>4</v>
      </c>
      <c r="L7" s="1251">
        <f>'RACE '!AZ10</f>
        <v>330</v>
      </c>
      <c r="M7" s="1251"/>
      <c r="N7" s="1251"/>
      <c r="O7" s="1252">
        <f>'RACE '!BA10</f>
        <v>0.0039467681</v>
      </c>
      <c r="P7" s="1253"/>
      <c r="Q7" s="1253"/>
      <c r="R7" s="1253"/>
      <c r="S7" s="1256">
        <v>5</v>
      </c>
      <c r="T7" s="1256"/>
      <c r="U7" s="1260" t="e">
        <f>'RACE '!AY14</f>
        <v>#N/A</v>
      </c>
      <c r="V7" s="1261"/>
      <c r="W7" s="1251" t="e">
        <f>'RACE '!AZ14</f>
        <v>#N/A</v>
      </c>
      <c r="X7" s="1251"/>
      <c r="Y7" s="1251"/>
      <c r="Z7" s="1251"/>
      <c r="AA7" s="1252" t="e">
        <f>'RACE '!BA14</f>
        <v>#N/A</v>
      </c>
      <c r="AB7" s="1253"/>
      <c r="AC7" s="1253"/>
      <c r="AD7" s="1254"/>
    </row>
    <row r="8" spans="2:30" s="527" customFormat="1" ht="30" customHeight="1">
      <c r="B8" s="1299" t="s">
        <v>208</v>
      </c>
      <c r="C8" s="1300"/>
      <c r="D8" s="940">
        <f>D9*1.1</f>
        <v>2200</v>
      </c>
      <c r="E8" s="940">
        <f>E9*1.1</f>
        <v>2200</v>
      </c>
      <c r="F8" s="940">
        <f>F9*1.1</f>
        <v>1100</v>
      </c>
      <c r="G8" s="1234">
        <f>G9*1.1</f>
        <v>1100</v>
      </c>
      <c r="H8" s="1235"/>
      <c r="I8" s="1298"/>
      <c r="J8" s="863">
        <v>2</v>
      </c>
      <c r="K8" s="944">
        <f>'RACE '!AY11</f>
        <v>7</v>
      </c>
      <c r="L8" s="1251">
        <f>'RACE '!AZ11</f>
        <v>135</v>
      </c>
      <c r="M8" s="1251"/>
      <c r="N8" s="1251"/>
      <c r="O8" s="1252">
        <f>'RACE '!BA11</f>
        <v>0.0026273207</v>
      </c>
      <c r="P8" s="1253"/>
      <c r="Q8" s="1253"/>
      <c r="R8" s="1253"/>
      <c r="S8" s="1256">
        <v>6</v>
      </c>
      <c r="T8" s="1256"/>
      <c r="U8" s="1260" t="e">
        <f>'RACE '!AY15</f>
        <v>#N/A</v>
      </c>
      <c r="V8" s="1261"/>
      <c r="W8" s="1251" t="e">
        <f>'RACE '!AZ15</f>
        <v>#N/A</v>
      </c>
      <c r="X8" s="1251"/>
      <c r="Y8" s="1251"/>
      <c r="Z8" s="1251"/>
      <c r="AA8" s="1252" t="e">
        <f>'RACE '!BA15</f>
        <v>#N/A</v>
      </c>
      <c r="AB8" s="1253"/>
      <c r="AC8" s="1253"/>
      <c r="AD8" s="1254"/>
    </row>
    <row r="9" spans="2:30" s="527" customFormat="1" ht="30" customHeight="1">
      <c r="B9" s="1299" t="s">
        <v>221</v>
      </c>
      <c r="C9" s="1324"/>
      <c r="D9" s="941">
        <f>'RACE '!I4</f>
        <v>2000</v>
      </c>
      <c r="E9" s="941">
        <f>'RACE '!I4</f>
        <v>2000</v>
      </c>
      <c r="F9" s="942">
        <f>'RACE '!I5</f>
        <v>1000</v>
      </c>
      <c r="G9" s="1325">
        <f>'RACE '!I5</f>
        <v>1000</v>
      </c>
      <c r="H9" s="1326"/>
      <c r="I9" s="1298"/>
      <c r="J9" s="863">
        <v>3</v>
      </c>
      <c r="K9" s="944">
        <f>'RACE '!AY12</f>
        <v>15</v>
      </c>
      <c r="L9" s="1251">
        <f>'RACE '!AZ12</f>
        <v>171</v>
      </c>
      <c r="M9" s="1251"/>
      <c r="N9" s="1251"/>
      <c r="O9" s="1252">
        <f>'RACE '!BA12</f>
        <v>0.003356489</v>
      </c>
      <c r="P9" s="1253"/>
      <c r="Q9" s="1253"/>
      <c r="R9" s="1253"/>
      <c r="S9" s="1256">
        <v>7</v>
      </c>
      <c r="T9" s="1256"/>
      <c r="U9" s="1260" t="e">
        <f>'RACE '!AY16</f>
        <v>#N/A</v>
      </c>
      <c r="V9" s="1261"/>
      <c r="W9" s="1251" t="e">
        <f>'RACE '!AZ16</f>
        <v>#N/A</v>
      </c>
      <c r="X9" s="1251"/>
      <c r="Y9" s="1251"/>
      <c r="Z9" s="1251"/>
      <c r="AA9" s="1252" t="e">
        <f>'RACE '!BA16</f>
        <v>#N/A</v>
      </c>
      <c r="AB9" s="1253"/>
      <c r="AC9" s="1253"/>
      <c r="AD9" s="1254"/>
    </row>
    <row r="10" spans="2:30" s="527" customFormat="1" ht="30" customHeight="1" thickBot="1">
      <c r="B10" s="1367" t="s">
        <v>81</v>
      </c>
      <c r="C10" s="1368"/>
      <c r="D10" s="943">
        <f>D9*0.9</f>
        <v>1800</v>
      </c>
      <c r="E10" s="943">
        <f>E9*0.9</f>
        <v>1800</v>
      </c>
      <c r="F10" s="943">
        <f>F9*0.9</f>
        <v>900</v>
      </c>
      <c r="G10" s="1369">
        <f>G9*0.9</f>
        <v>900</v>
      </c>
      <c r="H10" s="1370"/>
      <c r="I10" s="1298"/>
      <c r="J10" s="864">
        <v>4</v>
      </c>
      <c r="K10" s="945" t="e">
        <f>'RACE '!AY13</f>
        <v>#N/A</v>
      </c>
      <c r="L10" s="1255" t="e">
        <f>'RACE '!AZ13</f>
        <v>#N/A</v>
      </c>
      <c r="M10" s="1255"/>
      <c r="N10" s="1255"/>
      <c r="O10" s="1373" t="e">
        <f>'RACE '!BA13</f>
        <v>#N/A</v>
      </c>
      <c r="P10" s="1374"/>
      <c r="Q10" s="1374"/>
      <c r="R10" s="1374"/>
      <c r="S10" s="1439">
        <v>8</v>
      </c>
      <c r="T10" s="1439"/>
      <c r="U10" s="1262" t="e">
        <f>'RACE '!AY17</f>
        <v>#N/A</v>
      </c>
      <c r="V10" s="1263"/>
      <c r="W10" s="1255" t="e">
        <f>'RACE '!AZ17</f>
        <v>#N/A</v>
      </c>
      <c r="X10" s="1255"/>
      <c r="Y10" s="1255"/>
      <c r="Z10" s="1255"/>
      <c r="AA10" s="1373" t="e">
        <f>'RACE '!BA17</f>
        <v>#N/A</v>
      </c>
      <c r="AB10" s="1374"/>
      <c r="AC10" s="1374"/>
      <c r="AD10" s="1440"/>
    </row>
    <row r="11" spans="2:30" s="527" customFormat="1" ht="9" customHeight="1" thickBot="1">
      <c r="B11" s="1345"/>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80"/>
    </row>
    <row r="12" spans="2:30" s="866" customFormat="1" ht="21" customHeight="1">
      <c r="B12" s="1371" t="s">
        <v>349</v>
      </c>
      <c r="C12" s="1372"/>
      <c r="D12" s="1372"/>
      <c r="E12" s="1372"/>
      <c r="F12" s="1372"/>
      <c r="G12" s="1327" t="s">
        <v>350</v>
      </c>
      <c r="H12" s="1376"/>
      <c r="I12" s="1376"/>
      <c r="J12" s="1376"/>
      <c r="K12" s="1376"/>
      <c r="L12" s="1306"/>
      <c r="M12" s="1327" t="s">
        <v>351</v>
      </c>
      <c r="N12" s="1328"/>
      <c r="O12" s="1328"/>
      <c r="P12" s="1328"/>
      <c r="Q12" s="1328"/>
      <c r="R12" s="1328"/>
      <c r="S12" s="1328"/>
      <c r="T12" s="1306"/>
      <c r="U12" s="1327" t="s">
        <v>352</v>
      </c>
      <c r="V12" s="1328"/>
      <c r="W12" s="1328"/>
      <c r="X12" s="1328"/>
      <c r="Y12" s="1328"/>
      <c r="Z12" s="1328"/>
      <c r="AA12" s="1328"/>
      <c r="AB12" s="1328"/>
      <c r="AC12" s="1328"/>
      <c r="AD12" s="1377"/>
    </row>
    <row r="13" spans="2:30" ht="21" customHeight="1">
      <c r="B13" s="1334" t="str">
        <f>'RACE '!D9</f>
        <v>Start - Green Roof N edge</v>
      </c>
      <c r="C13" s="1335"/>
      <c r="D13" s="1335"/>
      <c r="E13" s="1335"/>
      <c r="F13" s="1336"/>
      <c r="G13" s="1433" t="s">
        <v>308</v>
      </c>
      <c r="H13" s="1434"/>
      <c r="I13" s="1423"/>
      <c r="J13" s="1423"/>
      <c r="K13" s="1424"/>
      <c r="L13" s="1307"/>
      <c r="M13" s="1435" t="s">
        <v>308</v>
      </c>
      <c r="N13" s="1436"/>
      <c r="O13" s="1436"/>
      <c r="P13" s="1436"/>
      <c r="Q13" s="1436"/>
      <c r="R13" s="1436"/>
      <c r="S13" s="1437"/>
      <c r="T13" s="1307"/>
      <c r="U13" s="1274" t="s">
        <v>353</v>
      </c>
      <c r="V13" s="1275"/>
      <c r="W13" s="1275"/>
      <c r="X13" s="1275"/>
      <c r="Y13" s="1435" t="s">
        <v>354</v>
      </c>
      <c r="Z13" s="1423"/>
      <c r="AA13" s="1423"/>
      <c r="AB13" s="1423"/>
      <c r="AC13" s="1423"/>
      <c r="AD13" s="1438"/>
    </row>
    <row r="14" spans="2:30" ht="30" customHeight="1" thickBot="1">
      <c r="B14" s="1337"/>
      <c r="C14" s="1338"/>
      <c r="D14" s="1338"/>
      <c r="E14" s="1338"/>
      <c r="F14" s="1339"/>
      <c r="G14" s="1315">
        <f>'RACE '!Y9</f>
        <v>0.5239697588777777</v>
      </c>
      <c r="H14" s="1316"/>
      <c r="I14" s="1316"/>
      <c r="J14" s="1316"/>
      <c r="K14" s="1317"/>
      <c r="L14" s="1308"/>
      <c r="M14" s="1312">
        <f>IF('RACE '!AG9=0,"",'RACE '!AG9)</f>
      </c>
      <c r="N14" s="1313"/>
      <c r="O14" s="1313"/>
      <c r="P14" s="1313"/>
      <c r="Q14" s="1313"/>
      <c r="R14" s="1313"/>
      <c r="S14" s="1314"/>
      <c r="T14" s="1308"/>
      <c r="U14" s="1276"/>
      <c r="V14" s="1276"/>
      <c r="W14" s="1276"/>
      <c r="X14" s="1276"/>
      <c r="Y14" s="1346">
        <f>IF(M14="","",ABS(M14-G14))</f>
      </c>
      <c r="Z14" s="1347"/>
      <c r="AA14" s="1347"/>
      <c r="AB14" s="1347"/>
      <c r="AC14" s="1347"/>
      <c r="AD14" s="1348"/>
    </row>
    <row r="15" spans="2:30" ht="6.75" customHeight="1" thickBot="1">
      <c r="B15" s="1375"/>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80"/>
    </row>
    <row r="16" spans="2:30" ht="38.25" customHeight="1">
      <c r="B16" s="1216" t="s">
        <v>225</v>
      </c>
      <c r="C16" s="1349" t="s">
        <v>355</v>
      </c>
      <c r="D16" s="1350"/>
      <c r="E16" s="1350"/>
      <c r="F16" s="1350"/>
      <c r="G16" s="1350"/>
      <c r="H16" s="1350"/>
      <c r="I16" s="1351"/>
      <c r="J16" s="1428"/>
      <c r="K16" s="1426" t="s">
        <v>356</v>
      </c>
      <c r="L16" s="1426"/>
      <c r="M16" s="1426"/>
      <c r="N16" s="1426"/>
      <c r="O16" s="1426"/>
      <c r="P16" s="1426"/>
      <c r="Q16" s="1426"/>
      <c r="R16" s="1426"/>
      <c r="S16" s="1427"/>
      <c r="T16" s="1356"/>
      <c r="U16" s="1419" t="s">
        <v>377</v>
      </c>
      <c r="V16" s="1420"/>
      <c r="W16" s="1420"/>
      <c r="X16" s="1420"/>
      <c r="Y16" s="1420"/>
      <c r="Z16" s="1420"/>
      <c r="AA16" s="1420"/>
      <c r="AB16" s="1420"/>
      <c r="AC16" s="1420"/>
      <c r="AD16" s="1421"/>
    </row>
    <row r="17" spans="2:30" ht="21" customHeight="1">
      <c r="B17" s="1425"/>
      <c r="C17" s="1352"/>
      <c r="D17" s="1279"/>
      <c r="E17" s="1279"/>
      <c r="F17" s="1279"/>
      <c r="G17" s="1279"/>
      <c r="H17" s="1279"/>
      <c r="I17" s="1353"/>
      <c r="J17" s="1429"/>
      <c r="K17" s="1422" t="s">
        <v>308</v>
      </c>
      <c r="L17" s="1423"/>
      <c r="M17" s="1423"/>
      <c r="N17" s="1423"/>
      <c r="O17" s="1423"/>
      <c r="P17" s="1423"/>
      <c r="Q17" s="1423"/>
      <c r="R17" s="1423"/>
      <c r="S17" s="1424"/>
      <c r="T17" s="1357"/>
      <c r="U17" s="1435" t="s">
        <v>308</v>
      </c>
      <c r="V17" s="1423"/>
      <c r="W17" s="1423"/>
      <c r="X17" s="1423"/>
      <c r="Y17" s="1441"/>
      <c r="Z17" s="1441"/>
      <c r="AA17" s="1441"/>
      <c r="AB17" s="1441"/>
      <c r="AC17" s="1441"/>
      <c r="AD17" s="1442"/>
    </row>
    <row r="18" spans="2:30" ht="30" customHeight="1">
      <c r="B18" s="846">
        <v>1</v>
      </c>
      <c r="C18" s="1354" t="str">
        <f>'RACE '!D18</f>
        <v>CP-1 Colvos Psg Lt #6</v>
      </c>
      <c r="D18" s="1355"/>
      <c r="E18" s="1355"/>
      <c r="F18" s="1355"/>
      <c r="G18" s="1355"/>
      <c r="H18" s="1355"/>
      <c r="I18" s="1355"/>
      <c r="J18" s="1353"/>
      <c r="K18" s="1286">
        <f>IF('RACE '!AG18=0,"",'RACE '!AG18)</f>
      </c>
      <c r="L18" s="1287"/>
      <c r="M18" s="1287"/>
      <c r="N18" s="1287"/>
      <c r="O18" s="1287"/>
      <c r="P18" s="1287"/>
      <c r="Q18" s="1287"/>
      <c r="R18" s="1287"/>
      <c r="S18" s="1288"/>
      <c r="T18" s="1357"/>
      <c r="U18" s="1331">
        <f>IF('RACE '!AH18=0,"",'RACE '!AH18)</f>
      </c>
      <c r="V18" s="1332"/>
      <c r="W18" s="1332"/>
      <c r="X18" s="1332"/>
      <c r="Y18" s="1332"/>
      <c r="Z18" s="1332"/>
      <c r="AA18" s="1332"/>
      <c r="AB18" s="1332"/>
      <c r="AC18" s="1332"/>
      <c r="AD18" s="1333"/>
    </row>
    <row r="19" spans="2:33" ht="30" customHeight="1">
      <c r="B19" s="846">
        <v>2</v>
      </c>
      <c r="C19" s="1354" t="str">
        <f>'RACE '!D27</f>
        <v>CP-2 Colvos Light #4</v>
      </c>
      <c r="D19" s="1355"/>
      <c r="E19" s="1355"/>
      <c r="F19" s="1355"/>
      <c r="G19" s="1355"/>
      <c r="H19" s="1355"/>
      <c r="I19" s="1355"/>
      <c r="J19" s="1353"/>
      <c r="K19" s="1286">
        <f>IF('RACE '!AG27=0,"",'RACE '!AG27)</f>
      </c>
      <c r="L19" s="1287"/>
      <c r="M19" s="1287"/>
      <c r="N19" s="1287"/>
      <c r="O19" s="1287"/>
      <c r="P19" s="1287"/>
      <c r="Q19" s="1287"/>
      <c r="R19" s="1287"/>
      <c r="S19" s="1288"/>
      <c r="T19" s="1357"/>
      <c r="U19" s="1331">
        <f>IF('RACE '!AH27=0,"",'RACE '!AH27)</f>
      </c>
      <c r="V19" s="1332"/>
      <c r="W19" s="1332"/>
      <c r="X19" s="1332"/>
      <c r="Y19" s="1332"/>
      <c r="Z19" s="1332"/>
      <c r="AA19" s="1332"/>
      <c r="AB19" s="1332"/>
      <c r="AC19" s="1332"/>
      <c r="AD19" s="1333"/>
      <c r="AG19" s="867" t="s">
        <v>77</v>
      </c>
    </row>
    <row r="20" spans="2:30" ht="30" customHeight="1">
      <c r="B20" s="846">
        <v>3</v>
      </c>
      <c r="C20" s="1354" t="str">
        <f>'RACE '!D36</f>
        <v>CP-3 Colvos Light #5</v>
      </c>
      <c r="D20" s="1355"/>
      <c r="E20" s="1355"/>
      <c r="F20" s="1355"/>
      <c r="G20" s="1355"/>
      <c r="H20" s="1355"/>
      <c r="I20" s="1355"/>
      <c r="J20" s="1353"/>
      <c r="K20" s="1286">
        <f>IF('RACE '!AG36=0,"",'RACE '!AG36)</f>
      </c>
      <c r="L20" s="1287"/>
      <c r="M20" s="1287"/>
      <c r="N20" s="1287"/>
      <c r="O20" s="1287"/>
      <c r="P20" s="1287"/>
      <c r="Q20" s="1287"/>
      <c r="R20" s="1287"/>
      <c r="S20" s="1288"/>
      <c r="T20" s="1357"/>
      <c r="U20" s="1331">
        <f>IF('RACE '!AH36=0,"",'RACE '!AH36)</f>
      </c>
      <c r="V20" s="1332"/>
      <c r="W20" s="1332"/>
      <c r="X20" s="1332"/>
      <c r="Y20" s="1332"/>
      <c r="Z20" s="1332"/>
      <c r="AA20" s="1332"/>
      <c r="AB20" s="1332"/>
      <c r="AC20" s="1332"/>
      <c r="AD20" s="1333"/>
    </row>
    <row r="21" spans="2:30" ht="30" customHeight="1">
      <c r="B21" s="846">
        <v>4</v>
      </c>
      <c r="C21" s="1354" t="str">
        <f>'RACE '!D45</f>
        <v>CP-4 Dalco Pt house west end</v>
      </c>
      <c r="D21" s="1355"/>
      <c r="E21" s="1355"/>
      <c r="F21" s="1355"/>
      <c r="G21" s="1355"/>
      <c r="H21" s="1355"/>
      <c r="I21" s="1355"/>
      <c r="J21" s="1353"/>
      <c r="K21" s="1286">
        <f>IF('RACE '!AG45=0,"",'RACE '!AG45)</f>
      </c>
      <c r="L21" s="1287"/>
      <c r="M21" s="1287"/>
      <c r="N21" s="1287"/>
      <c r="O21" s="1287"/>
      <c r="P21" s="1287"/>
      <c r="Q21" s="1287"/>
      <c r="R21" s="1287"/>
      <c r="S21" s="1288"/>
      <c r="T21" s="1357"/>
      <c r="U21" s="1331">
        <f>IF('RACE '!AH45=0,"",'RACE '!AH45)</f>
      </c>
      <c r="V21" s="1332"/>
      <c r="W21" s="1332"/>
      <c r="X21" s="1332"/>
      <c r="Y21" s="1332"/>
      <c r="Z21" s="1332"/>
      <c r="AA21" s="1332"/>
      <c r="AB21" s="1332"/>
      <c r="AC21" s="1332"/>
      <c r="AD21" s="1333"/>
    </row>
    <row r="22" spans="2:32" ht="30" customHeight="1">
      <c r="B22" s="846">
        <v>5</v>
      </c>
      <c r="C22" s="1354" t="str">
        <f>'RACE '!D54</f>
        <v>Finish - Beach House E of GH Lighthouse</v>
      </c>
      <c r="D22" s="1355"/>
      <c r="E22" s="1355"/>
      <c r="F22" s="1355"/>
      <c r="G22" s="1355"/>
      <c r="H22" s="1355"/>
      <c r="I22" s="1355"/>
      <c r="J22" s="1353"/>
      <c r="K22" s="1286">
        <f>IF('RACE '!AG54=0,"",'RACE '!AG54)</f>
      </c>
      <c r="L22" s="1287"/>
      <c r="M22" s="1287"/>
      <c r="N22" s="1287"/>
      <c r="O22" s="1287"/>
      <c r="P22" s="1287"/>
      <c r="Q22" s="1287"/>
      <c r="R22" s="1287"/>
      <c r="S22" s="1288"/>
      <c r="T22" s="1357"/>
      <c r="U22" s="1331">
        <f>IF('RACE '!AH54=0,"",'RACE '!AH54)</f>
      </c>
      <c r="V22" s="1332"/>
      <c r="W22" s="1332"/>
      <c r="X22" s="1332"/>
      <c r="Y22" s="1332"/>
      <c r="Z22" s="1332"/>
      <c r="AA22" s="1332"/>
      <c r="AB22" s="1332"/>
      <c r="AC22" s="1332"/>
      <c r="AD22" s="1333"/>
      <c r="AF22" s="867" t="s">
        <v>77</v>
      </c>
    </row>
    <row r="23" spans="2:30" ht="30" customHeight="1">
      <c r="B23" s="846">
        <v>6</v>
      </c>
      <c r="C23" s="1354">
        <f>'RACE '!D63</f>
      </c>
      <c r="D23" s="1355"/>
      <c r="E23" s="1355"/>
      <c r="F23" s="1355"/>
      <c r="G23" s="1355"/>
      <c r="H23" s="1355"/>
      <c r="I23" s="1355"/>
      <c r="J23" s="1353"/>
      <c r="K23" s="1286">
        <f>IF('RACE '!AG63=0,"",'RACE '!AG63)</f>
      </c>
      <c r="L23" s="1287"/>
      <c r="M23" s="1287"/>
      <c r="N23" s="1287"/>
      <c r="O23" s="1287"/>
      <c r="P23" s="1287"/>
      <c r="Q23" s="1287"/>
      <c r="R23" s="1287"/>
      <c r="S23" s="1288"/>
      <c r="T23" s="1357"/>
      <c r="U23" s="1331">
        <f>IF('RACE '!AH63=0,"",'RACE '!AH63)</f>
      </c>
      <c r="V23" s="1332"/>
      <c r="W23" s="1332"/>
      <c r="X23" s="1332"/>
      <c r="Y23" s="1332"/>
      <c r="Z23" s="1332"/>
      <c r="AA23" s="1332"/>
      <c r="AB23" s="1332"/>
      <c r="AC23" s="1332"/>
      <c r="AD23" s="1333"/>
    </row>
    <row r="24" spans="2:30" ht="30" customHeight="1">
      <c r="B24" s="846">
        <v>7</v>
      </c>
      <c r="C24" s="1354">
        <f>'RACE '!D72</f>
      </c>
      <c r="D24" s="1355"/>
      <c r="E24" s="1355"/>
      <c r="F24" s="1355"/>
      <c r="G24" s="1355"/>
      <c r="H24" s="1355"/>
      <c r="I24" s="1355"/>
      <c r="J24" s="1353"/>
      <c r="K24" s="1286">
        <f>IF('RACE '!AG72=0,"",'RACE '!AG72)</f>
      </c>
      <c r="L24" s="1287"/>
      <c r="M24" s="1287"/>
      <c r="N24" s="1287"/>
      <c r="O24" s="1287"/>
      <c r="P24" s="1287"/>
      <c r="Q24" s="1287"/>
      <c r="R24" s="1287"/>
      <c r="S24" s="1288"/>
      <c r="T24" s="1357"/>
      <c r="U24" s="1331">
        <f>IF('RACE '!AH72=0,"",'RACE '!AH72)</f>
      </c>
      <c r="V24" s="1332"/>
      <c r="W24" s="1332"/>
      <c r="X24" s="1332"/>
      <c r="Y24" s="1332"/>
      <c r="Z24" s="1332"/>
      <c r="AA24" s="1332"/>
      <c r="AB24" s="1332"/>
      <c r="AC24" s="1332"/>
      <c r="AD24" s="1333"/>
    </row>
    <row r="25" spans="2:30" ht="30" customHeight="1" thickBot="1">
      <c r="B25" s="868">
        <v>8</v>
      </c>
      <c r="C25" s="1354">
        <f>'RACE '!D81</f>
      </c>
      <c r="D25" s="1355"/>
      <c r="E25" s="1355"/>
      <c r="F25" s="1355"/>
      <c r="G25" s="1355"/>
      <c r="H25" s="1355"/>
      <c r="I25" s="1355"/>
      <c r="J25" s="1430"/>
      <c r="K25" s="1286">
        <f>IF('RACE '!AG81=0,"",'RACE '!AG81)</f>
      </c>
      <c r="L25" s="1287"/>
      <c r="M25" s="1287"/>
      <c r="N25" s="1287"/>
      <c r="O25" s="1287"/>
      <c r="P25" s="1287"/>
      <c r="Q25" s="1287"/>
      <c r="R25" s="1287"/>
      <c r="S25" s="1288"/>
      <c r="T25" s="1358"/>
      <c r="U25" s="1331">
        <f>IF('RACE '!AH81=0,"",'RACE '!AH81)</f>
      </c>
      <c r="V25" s="1332"/>
      <c r="W25" s="1332"/>
      <c r="X25" s="1332"/>
      <c r="Y25" s="1332"/>
      <c r="Z25" s="1332"/>
      <c r="AA25" s="1431"/>
      <c r="AB25" s="1431"/>
      <c r="AC25" s="1431"/>
      <c r="AD25" s="1432"/>
    </row>
    <row r="26" spans="2:30" ht="30" customHeight="1" thickBot="1">
      <c r="B26" s="1321" t="s">
        <v>357</v>
      </c>
      <c r="C26" s="1322"/>
      <c r="D26" s="1322"/>
      <c r="E26" s="1322"/>
      <c r="F26" s="1322"/>
      <c r="G26" s="1322"/>
      <c r="H26" s="1322"/>
      <c r="I26" s="1322"/>
      <c r="J26" s="1323"/>
      <c r="K26" s="1283">
        <f>IF('RACE '!AI82=0,"",'RACE '!AI82)</f>
      </c>
      <c r="L26" s="1284"/>
      <c r="M26" s="1284"/>
      <c r="N26" s="1284"/>
      <c r="O26" s="1284"/>
      <c r="P26" s="1284"/>
      <c r="Q26" s="1284"/>
      <c r="R26" s="1284"/>
      <c r="S26" s="1285"/>
      <c r="T26" s="951"/>
      <c r="U26" s="1342" t="s">
        <v>406</v>
      </c>
      <c r="V26" s="1343"/>
      <c r="W26" s="1343"/>
      <c r="X26" s="1343"/>
      <c r="Y26" s="1343"/>
      <c r="Z26" s="1344"/>
      <c r="AA26" s="1301">
        <f>IF(O26="","",ABS(O26-I26))</f>
      </c>
      <c r="AB26" s="1302"/>
      <c r="AC26" s="1302"/>
      <c r="AD26" s="1303"/>
    </row>
    <row r="27" spans="2:30" ht="6" customHeight="1" thickBot="1">
      <c r="B27" s="1277"/>
      <c r="C27" s="1278"/>
      <c r="D27" s="1278"/>
      <c r="E27" s="1279"/>
      <c r="F27" s="1279"/>
      <c r="G27" s="1279"/>
      <c r="H27" s="1279"/>
      <c r="I27" s="1279"/>
      <c r="J27" s="1279"/>
      <c r="K27" s="1279"/>
      <c r="L27" s="1279"/>
      <c r="M27" s="1279"/>
      <c r="N27" s="1279"/>
      <c r="O27" s="1279"/>
      <c r="P27" s="1279"/>
      <c r="Q27" s="1279"/>
      <c r="R27" s="1279"/>
      <c r="S27" s="1279"/>
      <c r="T27" s="1279"/>
      <c r="U27" s="1279"/>
      <c r="V27" s="1279"/>
      <c r="W27" s="1279"/>
      <c r="X27" s="1279"/>
      <c r="Y27" s="1279"/>
      <c r="Z27" s="1279"/>
      <c r="AA27" s="1279"/>
      <c r="AB27" s="1279"/>
      <c r="AC27" s="1279"/>
      <c r="AD27" s="1280"/>
    </row>
    <row r="28" spans="2:30" s="854" customFormat="1" ht="21" customHeight="1" thickBot="1">
      <c r="B28" s="1340" t="s">
        <v>358</v>
      </c>
      <c r="C28" s="1341"/>
      <c r="D28" s="1341"/>
      <c r="E28" s="1341"/>
      <c r="F28" s="1341"/>
      <c r="G28" s="1341"/>
      <c r="H28" s="1341"/>
      <c r="I28" s="1341"/>
      <c r="J28" s="1341"/>
      <c r="K28" s="1341"/>
      <c r="L28" s="1341"/>
      <c r="M28" s="1341"/>
      <c r="N28" s="1341"/>
      <c r="O28" s="1341"/>
      <c r="P28" s="1341"/>
      <c r="Q28" s="1341"/>
      <c r="R28" s="1341"/>
      <c r="S28" s="1341"/>
      <c r="T28" s="1341"/>
      <c r="U28" s="1341"/>
      <c r="V28" s="1341"/>
      <c r="W28" s="1341"/>
      <c r="X28" s="1341"/>
      <c r="Y28" s="1341"/>
      <c r="Z28" s="1341"/>
      <c r="AA28" s="1341"/>
      <c r="AB28" s="1329" t="s">
        <v>105</v>
      </c>
      <c r="AC28" s="1330"/>
      <c r="AD28" s="869" t="s">
        <v>106</v>
      </c>
    </row>
    <row r="29" spans="2:30" s="854" customFormat="1" ht="24.75" customHeight="1">
      <c r="B29" s="1318" t="s">
        <v>359</v>
      </c>
      <c r="C29" s="1319"/>
      <c r="D29" s="1319"/>
      <c r="E29" s="1319"/>
      <c r="F29" s="1319"/>
      <c r="G29" s="1319"/>
      <c r="H29" s="1319"/>
      <c r="I29" s="1319"/>
      <c r="J29" s="1319"/>
      <c r="K29" s="1319"/>
      <c r="L29" s="1319"/>
      <c r="M29" s="1319"/>
      <c r="N29" s="1319"/>
      <c r="O29" s="1319"/>
      <c r="P29" s="1319"/>
      <c r="Q29" s="1319"/>
      <c r="R29" s="1319"/>
      <c r="S29" s="1319"/>
      <c r="T29" s="1319"/>
      <c r="U29" s="1319"/>
      <c r="V29" s="1319"/>
      <c r="W29" s="1319"/>
      <c r="X29" s="1319"/>
      <c r="Y29" s="1319"/>
      <c r="Z29" s="1319"/>
      <c r="AA29" s="1320"/>
      <c r="AB29" s="1359"/>
      <c r="AC29" s="1360"/>
      <c r="AD29" s="870"/>
    </row>
    <row r="30" spans="2:30" s="854" customFormat="1" ht="24.75" customHeight="1">
      <c r="B30" s="1309" t="s">
        <v>360</v>
      </c>
      <c r="C30" s="1310"/>
      <c r="D30" s="1310"/>
      <c r="E30" s="1310"/>
      <c r="F30" s="1310"/>
      <c r="G30" s="1310"/>
      <c r="H30" s="1310"/>
      <c r="I30" s="1310"/>
      <c r="J30" s="1310"/>
      <c r="K30" s="1310"/>
      <c r="L30" s="1310"/>
      <c r="M30" s="1310"/>
      <c r="N30" s="1310"/>
      <c r="O30" s="1310"/>
      <c r="P30" s="1310"/>
      <c r="Q30" s="1310"/>
      <c r="R30" s="1310"/>
      <c r="S30" s="1310"/>
      <c r="T30" s="1310"/>
      <c r="U30" s="1310"/>
      <c r="V30" s="1310"/>
      <c r="W30" s="1310"/>
      <c r="X30" s="1310"/>
      <c r="Y30" s="1310"/>
      <c r="Z30" s="1310"/>
      <c r="AA30" s="1311"/>
      <c r="AB30" s="1281"/>
      <c r="AC30" s="1282"/>
      <c r="AD30" s="871"/>
    </row>
    <row r="31" spans="2:30" s="854" customFormat="1" ht="24.75" customHeight="1">
      <c r="B31" s="1309" t="s">
        <v>361</v>
      </c>
      <c r="C31" s="1310"/>
      <c r="D31" s="1310"/>
      <c r="E31" s="1310"/>
      <c r="F31" s="1310"/>
      <c r="G31" s="1310"/>
      <c r="H31" s="1310"/>
      <c r="I31" s="1310"/>
      <c r="J31" s="1310"/>
      <c r="K31" s="1310"/>
      <c r="L31" s="1310"/>
      <c r="M31" s="1310"/>
      <c r="N31" s="1310"/>
      <c r="O31" s="1310"/>
      <c r="P31" s="1310"/>
      <c r="Q31" s="1310"/>
      <c r="R31" s="1310"/>
      <c r="S31" s="1310"/>
      <c r="T31" s="1310"/>
      <c r="U31" s="1310"/>
      <c r="V31" s="1310"/>
      <c r="W31" s="1310"/>
      <c r="X31" s="1310"/>
      <c r="Y31" s="1310"/>
      <c r="Z31" s="1310"/>
      <c r="AA31" s="1311"/>
      <c r="AB31" s="1361"/>
      <c r="AC31" s="1362"/>
      <c r="AD31" s="872"/>
    </row>
    <row r="32" spans="2:30" s="854" customFormat="1" ht="24.75" customHeight="1">
      <c r="B32" s="1309" t="s">
        <v>362</v>
      </c>
      <c r="C32" s="1310"/>
      <c r="D32" s="1310"/>
      <c r="E32" s="1310"/>
      <c r="F32" s="1310"/>
      <c r="G32" s="1310"/>
      <c r="H32" s="1310"/>
      <c r="I32" s="1310"/>
      <c r="J32" s="1310"/>
      <c r="K32" s="1310"/>
      <c r="L32" s="1310"/>
      <c r="M32" s="1310"/>
      <c r="N32" s="1310"/>
      <c r="O32" s="1310"/>
      <c r="P32" s="1310"/>
      <c r="Q32" s="1310"/>
      <c r="R32" s="1310"/>
      <c r="S32" s="1310"/>
      <c r="T32" s="1310"/>
      <c r="U32" s="1310"/>
      <c r="V32" s="1310"/>
      <c r="W32" s="1310"/>
      <c r="X32" s="1310"/>
      <c r="Y32" s="1310"/>
      <c r="Z32" s="1310"/>
      <c r="AA32" s="1311"/>
      <c r="AB32" s="1304"/>
      <c r="AC32" s="1305"/>
      <c r="AD32" s="873"/>
    </row>
    <row r="33" spans="2:30" s="854" customFormat="1" ht="24.75" customHeight="1">
      <c r="B33" s="1309" t="s">
        <v>363</v>
      </c>
      <c r="C33" s="1310"/>
      <c r="D33" s="1310"/>
      <c r="E33" s="1310"/>
      <c r="F33" s="1310"/>
      <c r="G33" s="1310"/>
      <c r="H33" s="1310"/>
      <c r="I33" s="1310"/>
      <c r="J33" s="1310"/>
      <c r="K33" s="1310"/>
      <c r="L33" s="1310"/>
      <c r="M33" s="1310"/>
      <c r="N33" s="1310"/>
      <c r="O33" s="1310"/>
      <c r="P33" s="1310"/>
      <c r="Q33" s="1310"/>
      <c r="R33" s="1310"/>
      <c r="S33" s="1310"/>
      <c r="T33" s="1310"/>
      <c r="U33" s="1310"/>
      <c r="V33" s="1310"/>
      <c r="W33" s="1310"/>
      <c r="X33" s="1310"/>
      <c r="Y33" s="1310"/>
      <c r="Z33" s="1310"/>
      <c r="AA33" s="1311"/>
      <c r="AB33" s="1304"/>
      <c r="AC33" s="1305"/>
      <c r="AD33" s="873"/>
    </row>
    <row r="34" spans="2:33" s="854" customFormat="1" ht="24.75" customHeight="1">
      <c r="B34" s="1309" t="s">
        <v>364</v>
      </c>
      <c r="C34" s="1310"/>
      <c r="D34" s="1310"/>
      <c r="E34" s="1310"/>
      <c r="F34" s="1310"/>
      <c r="G34" s="1310"/>
      <c r="H34" s="1310"/>
      <c r="I34" s="1310"/>
      <c r="J34" s="1310"/>
      <c r="K34" s="1310"/>
      <c r="L34" s="1310"/>
      <c r="M34" s="1310"/>
      <c r="N34" s="1310"/>
      <c r="O34" s="1310"/>
      <c r="P34" s="1310"/>
      <c r="Q34" s="1310"/>
      <c r="R34" s="1310"/>
      <c r="S34" s="1310"/>
      <c r="T34" s="1310"/>
      <c r="U34" s="1310"/>
      <c r="V34" s="1310"/>
      <c r="W34" s="1310"/>
      <c r="X34" s="1310"/>
      <c r="Y34" s="1310"/>
      <c r="Z34" s="1310"/>
      <c r="AA34" s="1311"/>
      <c r="AB34" s="1304"/>
      <c r="AC34" s="1305"/>
      <c r="AD34" s="873"/>
      <c r="AG34" s="874"/>
    </row>
    <row r="35" spans="2:30" s="854" customFormat="1" ht="24.75" customHeight="1">
      <c r="B35" s="1309" t="s">
        <v>365</v>
      </c>
      <c r="C35" s="1310"/>
      <c r="D35" s="1310"/>
      <c r="E35" s="1310"/>
      <c r="F35" s="1310"/>
      <c r="G35" s="1310"/>
      <c r="H35" s="1310"/>
      <c r="I35" s="1310"/>
      <c r="J35" s="1310"/>
      <c r="K35" s="1310"/>
      <c r="L35" s="1310"/>
      <c r="M35" s="1310"/>
      <c r="N35" s="1310"/>
      <c r="O35" s="1310"/>
      <c r="P35" s="1310"/>
      <c r="Q35" s="1310"/>
      <c r="R35" s="1310"/>
      <c r="S35" s="1310"/>
      <c r="T35" s="1310"/>
      <c r="U35" s="1310"/>
      <c r="V35" s="1310"/>
      <c r="W35" s="1310"/>
      <c r="X35" s="1310"/>
      <c r="Y35" s="1310"/>
      <c r="Z35" s="1310"/>
      <c r="AA35" s="1311"/>
      <c r="AB35" s="1304"/>
      <c r="AC35" s="1305"/>
      <c r="AD35" s="873"/>
    </row>
    <row r="36" spans="2:30" s="854" customFormat="1" ht="24.75" customHeight="1">
      <c r="B36" s="1309" t="s">
        <v>228</v>
      </c>
      <c r="C36" s="1310"/>
      <c r="D36" s="1310"/>
      <c r="E36" s="1310"/>
      <c r="F36" s="1310"/>
      <c r="G36" s="1310"/>
      <c r="H36" s="1310"/>
      <c r="I36" s="1310"/>
      <c r="J36" s="1310"/>
      <c r="K36" s="1310"/>
      <c r="L36" s="1310"/>
      <c r="M36" s="1310"/>
      <c r="N36" s="1310"/>
      <c r="O36" s="1310"/>
      <c r="P36" s="1310"/>
      <c r="Q36" s="1310"/>
      <c r="R36" s="1310"/>
      <c r="S36" s="1310"/>
      <c r="T36" s="1310"/>
      <c r="U36" s="1310"/>
      <c r="V36" s="1310"/>
      <c r="W36" s="1310"/>
      <c r="X36" s="1310"/>
      <c r="Y36" s="1310"/>
      <c r="Z36" s="1310"/>
      <c r="AA36" s="1311"/>
      <c r="AB36" s="1304"/>
      <c r="AC36" s="1305"/>
      <c r="AD36" s="873"/>
    </row>
    <row r="37" spans="2:30" s="854" customFormat="1" ht="24.75" customHeight="1">
      <c r="B37" s="1309" t="s">
        <v>366</v>
      </c>
      <c r="C37" s="1310"/>
      <c r="D37" s="1310"/>
      <c r="E37" s="1310"/>
      <c r="F37" s="1310"/>
      <c r="G37" s="1310"/>
      <c r="H37" s="1310"/>
      <c r="I37" s="1310"/>
      <c r="J37" s="1310"/>
      <c r="K37" s="1310"/>
      <c r="L37" s="1310"/>
      <c r="M37" s="1310"/>
      <c r="N37" s="1310"/>
      <c r="O37" s="1310"/>
      <c r="P37" s="1310"/>
      <c r="Q37" s="1310"/>
      <c r="R37" s="1310"/>
      <c r="S37" s="1310"/>
      <c r="T37" s="1310"/>
      <c r="U37" s="1310"/>
      <c r="V37" s="1310"/>
      <c r="W37" s="1310"/>
      <c r="X37" s="1310"/>
      <c r="Y37" s="1310"/>
      <c r="Z37" s="1310"/>
      <c r="AA37" s="1311"/>
      <c r="AB37" s="1304"/>
      <c r="AC37" s="1305"/>
      <c r="AD37" s="873"/>
    </row>
    <row r="38" spans="2:30" s="854" customFormat="1" ht="24.75" customHeight="1">
      <c r="B38" s="1309" t="s">
        <v>367</v>
      </c>
      <c r="C38" s="1310"/>
      <c r="D38" s="1310"/>
      <c r="E38" s="1310"/>
      <c r="F38" s="1310"/>
      <c r="G38" s="1310"/>
      <c r="H38" s="1310"/>
      <c r="I38" s="1310"/>
      <c r="J38" s="1310"/>
      <c r="K38" s="1310"/>
      <c r="L38" s="1310"/>
      <c r="M38" s="1310"/>
      <c r="N38" s="1310"/>
      <c r="O38" s="1310"/>
      <c r="P38" s="1310"/>
      <c r="Q38" s="1310"/>
      <c r="R38" s="1310"/>
      <c r="S38" s="1310"/>
      <c r="T38" s="1310"/>
      <c r="U38" s="1310"/>
      <c r="V38" s="1310"/>
      <c r="W38" s="1310"/>
      <c r="X38" s="1310"/>
      <c r="Y38" s="1310"/>
      <c r="Z38" s="1310"/>
      <c r="AA38" s="1311"/>
      <c r="AB38" s="1304"/>
      <c r="AC38" s="1305"/>
      <c r="AD38" s="873"/>
    </row>
    <row r="39" spans="2:30" s="854" customFormat="1" ht="24.75" customHeight="1">
      <c r="B39" s="1309" t="s">
        <v>368</v>
      </c>
      <c r="C39" s="1310"/>
      <c r="D39" s="1310"/>
      <c r="E39" s="1310"/>
      <c r="F39" s="1310"/>
      <c r="G39" s="1310"/>
      <c r="H39" s="1310"/>
      <c r="I39" s="1310"/>
      <c r="J39" s="1310"/>
      <c r="K39" s="1310"/>
      <c r="L39" s="1310"/>
      <c r="M39" s="1310"/>
      <c r="N39" s="1310"/>
      <c r="O39" s="1310"/>
      <c r="P39" s="1310"/>
      <c r="Q39" s="1310"/>
      <c r="R39" s="1310"/>
      <c r="S39" s="1310"/>
      <c r="T39" s="1310"/>
      <c r="U39" s="1310"/>
      <c r="V39" s="1310"/>
      <c r="W39" s="1310"/>
      <c r="X39" s="1310"/>
      <c r="Y39" s="1310"/>
      <c r="Z39" s="1310"/>
      <c r="AA39" s="1311"/>
      <c r="AB39" s="1304"/>
      <c r="AC39" s="1305"/>
      <c r="AD39" s="873"/>
    </row>
    <row r="40" spans="2:30" s="854" customFormat="1" ht="24.75" customHeight="1">
      <c r="B40" s="1309" t="s">
        <v>369</v>
      </c>
      <c r="C40" s="1310"/>
      <c r="D40" s="1310"/>
      <c r="E40" s="1310"/>
      <c r="F40" s="1310"/>
      <c r="G40" s="1310"/>
      <c r="H40" s="1310"/>
      <c r="I40" s="1310"/>
      <c r="J40" s="1310"/>
      <c r="K40" s="1310"/>
      <c r="L40" s="1310"/>
      <c r="M40" s="1310"/>
      <c r="N40" s="1310"/>
      <c r="O40" s="1310"/>
      <c r="P40" s="1310"/>
      <c r="Q40" s="1310"/>
      <c r="R40" s="1310"/>
      <c r="S40" s="1310"/>
      <c r="T40" s="1310"/>
      <c r="U40" s="1310"/>
      <c r="V40" s="1310"/>
      <c r="W40" s="1310"/>
      <c r="X40" s="1310"/>
      <c r="Y40" s="1310"/>
      <c r="Z40" s="1310"/>
      <c r="AA40" s="1311"/>
      <c r="AB40" s="1304"/>
      <c r="AC40" s="1305"/>
      <c r="AD40" s="873"/>
    </row>
    <row r="41" spans="2:31" s="854" customFormat="1" ht="24.75" customHeight="1" thickBot="1">
      <c r="B41" s="1402" t="s">
        <v>370</v>
      </c>
      <c r="C41" s="1403"/>
      <c r="D41" s="1403"/>
      <c r="E41" s="1403"/>
      <c r="F41" s="1403"/>
      <c r="G41" s="1403"/>
      <c r="H41" s="1403"/>
      <c r="I41" s="1403"/>
      <c r="J41" s="1403"/>
      <c r="K41" s="1403"/>
      <c r="L41" s="1403"/>
      <c r="M41" s="1403"/>
      <c r="N41" s="1403"/>
      <c r="O41" s="1403"/>
      <c r="P41" s="1403"/>
      <c r="Q41" s="1403"/>
      <c r="R41" s="1403"/>
      <c r="S41" s="1403"/>
      <c r="T41" s="1403"/>
      <c r="U41" s="1403"/>
      <c r="V41" s="1403"/>
      <c r="W41" s="1403"/>
      <c r="X41" s="1403"/>
      <c r="Y41" s="1403"/>
      <c r="Z41" s="1403"/>
      <c r="AA41" s="1404"/>
      <c r="AB41" s="1400"/>
      <c r="AC41" s="1401"/>
      <c r="AD41" s="875"/>
      <c r="AE41" s="876"/>
    </row>
    <row r="42" spans="2:30" ht="23.25" customHeight="1">
      <c r="B42" s="1289" t="s">
        <v>371</v>
      </c>
      <c r="C42" s="1411"/>
      <c r="D42" s="1411"/>
      <c r="E42" s="1411"/>
      <c r="F42" s="1411"/>
      <c r="G42" s="1411"/>
      <c r="H42" s="1411"/>
      <c r="I42" s="1411"/>
      <c r="J42" s="1411"/>
      <c r="K42" s="1411"/>
      <c r="L42" s="1411"/>
      <c r="M42" s="1411"/>
      <c r="N42" s="1411"/>
      <c r="O42" s="1411"/>
      <c r="P42" s="1411"/>
      <c r="Q42" s="1411"/>
      <c r="R42" s="1411"/>
      <c r="S42" s="1411"/>
      <c r="T42" s="1411"/>
      <c r="U42" s="1411"/>
      <c r="V42" s="1411"/>
      <c r="W42" s="1411"/>
      <c r="X42" s="1411"/>
      <c r="Y42" s="1411"/>
      <c r="Z42" s="1411"/>
      <c r="AA42" s="1411"/>
      <c r="AB42" s="1411"/>
      <c r="AC42" s="1411"/>
      <c r="AD42" s="1412"/>
    </row>
    <row r="43" spans="2:30" ht="31.5" customHeight="1">
      <c r="B43" s="1395" t="s">
        <v>372</v>
      </c>
      <c r="C43" s="1396"/>
      <c r="D43" s="1396"/>
      <c r="E43" s="1378"/>
      <c r="F43" s="1379"/>
      <c r="G43" s="1380"/>
      <c r="H43" s="1380"/>
      <c r="I43" s="1380"/>
      <c r="J43" s="1380"/>
      <c r="K43" s="1380"/>
      <c r="L43" s="1381"/>
      <c r="M43" s="1397" t="s">
        <v>373</v>
      </c>
      <c r="N43" s="1398"/>
      <c r="O43" s="1398"/>
      <c r="P43" s="1398"/>
      <c r="Q43" s="1398"/>
      <c r="R43" s="1396"/>
      <c r="S43" s="1378"/>
      <c r="T43" s="1380"/>
      <c r="U43" s="1380"/>
      <c r="V43" s="1380"/>
      <c r="W43" s="1380"/>
      <c r="X43" s="1380"/>
      <c r="Y43" s="1380"/>
      <c r="Z43" s="1380"/>
      <c r="AA43" s="1380"/>
      <c r="AB43" s="1380"/>
      <c r="AC43" s="1380"/>
      <c r="AD43" s="1399"/>
    </row>
    <row r="44" spans="2:30" ht="31.5" customHeight="1" thickBot="1">
      <c r="B44" s="1409" t="s">
        <v>374</v>
      </c>
      <c r="C44" s="1410"/>
      <c r="D44" s="1410"/>
      <c r="E44" s="1405"/>
      <c r="F44" s="1406"/>
      <c r="G44" s="1407"/>
      <c r="H44" s="1407"/>
      <c r="I44" s="1407"/>
      <c r="J44" s="1407"/>
      <c r="K44" s="1407"/>
      <c r="L44" s="1408"/>
      <c r="M44" s="1416" t="s">
        <v>373</v>
      </c>
      <c r="N44" s="1417"/>
      <c r="O44" s="1417"/>
      <c r="P44" s="1417"/>
      <c r="Q44" s="1417"/>
      <c r="R44" s="1418"/>
      <c r="S44" s="1413"/>
      <c r="T44" s="1414"/>
      <c r="U44" s="1414"/>
      <c r="V44" s="1414"/>
      <c r="W44" s="1414"/>
      <c r="X44" s="1414"/>
      <c r="Y44" s="1414"/>
      <c r="Z44" s="1414"/>
      <c r="AA44" s="1414"/>
      <c r="AB44" s="1414"/>
      <c r="AC44" s="1414"/>
      <c r="AD44" s="1415"/>
    </row>
    <row r="45" spans="2:30" ht="15" customHeight="1" thickBot="1">
      <c r="B45" s="1269" t="s">
        <v>375</v>
      </c>
      <c r="C45" s="1270"/>
      <c r="D45" s="1270"/>
      <c r="E45" s="1270"/>
      <c r="F45" s="1270"/>
      <c r="G45" s="1270"/>
      <c r="H45" s="1270"/>
      <c r="I45" s="1270"/>
      <c r="J45" s="1270"/>
      <c r="K45" s="1270"/>
      <c r="L45" s="1270"/>
      <c r="M45" s="1270"/>
      <c r="N45" s="1270"/>
      <c r="O45" s="1270"/>
      <c r="P45" s="1270"/>
      <c r="Q45" s="1270"/>
      <c r="R45" s="1270"/>
      <c r="S45" s="1270"/>
      <c r="T45" s="1270"/>
      <c r="U45" s="1270"/>
      <c r="V45" s="1270"/>
      <c r="W45" s="1270"/>
      <c r="X45" s="1270"/>
      <c r="Y45" s="1270"/>
      <c r="Z45" s="1270"/>
      <c r="AA45" s="1270"/>
      <c r="AB45" s="1270"/>
      <c r="AC45" s="1270"/>
      <c r="AD45" s="1271"/>
    </row>
    <row r="46" spans="2:30" ht="31.5" customHeight="1" thickBot="1">
      <c r="B46" s="1264" t="s">
        <v>332</v>
      </c>
      <c r="C46" s="1265"/>
      <c r="D46" s="1265"/>
      <c r="E46" s="1265"/>
      <c r="F46" s="1265"/>
      <c r="G46" s="1267"/>
      <c r="H46" s="1268"/>
      <c r="I46" s="1268"/>
      <c r="J46" s="1268"/>
      <c r="K46" s="1268"/>
      <c r="L46" s="1268"/>
      <c r="M46" s="1268"/>
      <c r="N46" s="1268"/>
      <c r="O46" s="1268"/>
      <c r="P46" s="1268"/>
      <c r="Q46" s="1268"/>
      <c r="R46" s="1268"/>
      <c r="S46" s="1266" t="s">
        <v>376</v>
      </c>
      <c r="T46" s="1266"/>
      <c r="U46" s="1266"/>
      <c r="V46" s="1266"/>
      <c r="W46" s="877"/>
      <c r="X46" s="1272" t="str">
        <f>'RACE '!G4</f>
        <v>xxx-xxx-xxxx</v>
      </c>
      <c r="Y46" s="1272"/>
      <c r="Z46" s="1272"/>
      <c r="AA46" s="1272"/>
      <c r="AB46" s="1272"/>
      <c r="AC46" s="1272"/>
      <c r="AD46" s="1273"/>
    </row>
    <row r="48" ht="12.75">
      <c r="F48" s="867"/>
    </row>
  </sheetData>
  <sheetProtection/>
  <mergeCells count="147">
    <mergeCell ref="C20:I20"/>
    <mergeCell ref="C19:I19"/>
    <mergeCell ref="C18:I18"/>
    <mergeCell ref="C25:I25"/>
    <mergeCell ref="C24:I24"/>
    <mergeCell ref="C23:I23"/>
    <mergeCell ref="C22:I22"/>
    <mergeCell ref="U17:AD17"/>
    <mergeCell ref="K21:S21"/>
    <mergeCell ref="K20:S20"/>
    <mergeCell ref="U22:AD22"/>
    <mergeCell ref="U24:AD24"/>
    <mergeCell ref="K18:S18"/>
    <mergeCell ref="K19:S19"/>
    <mergeCell ref="U18:AD18"/>
    <mergeCell ref="K23:S23"/>
    <mergeCell ref="K22:S22"/>
    <mergeCell ref="G13:K13"/>
    <mergeCell ref="M13:S13"/>
    <mergeCell ref="Y13:AD13"/>
    <mergeCell ref="L9:N9"/>
    <mergeCell ref="U9:V9"/>
    <mergeCell ref="W9:Z9"/>
    <mergeCell ref="S10:T10"/>
    <mergeCell ref="AA9:AD9"/>
    <mergeCell ref="AA10:AD10"/>
    <mergeCell ref="L10:N10"/>
    <mergeCell ref="U16:AD16"/>
    <mergeCell ref="K17:S17"/>
    <mergeCell ref="B34:AA34"/>
    <mergeCell ref="B35:AA35"/>
    <mergeCell ref="AB35:AC35"/>
    <mergeCell ref="B16:B17"/>
    <mergeCell ref="K16:S16"/>
    <mergeCell ref="J16:J25"/>
    <mergeCell ref="U21:AD21"/>
    <mergeCell ref="U25:AD25"/>
    <mergeCell ref="B36:AA36"/>
    <mergeCell ref="B37:AA37"/>
    <mergeCell ref="B32:AA32"/>
    <mergeCell ref="B33:AA33"/>
    <mergeCell ref="E44:L44"/>
    <mergeCell ref="B44:D44"/>
    <mergeCell ref="B42:AD42"/>
    <mergeCell ref="B40:AA40"/>
    <mergeCell ref="S44:AD44"/>
    <mergeCell ref="M44:R44"/>
    <mergeCell ref="B43:D43"/>
    <mergeCell ref="M43:R43"/>
    <mergeCell ref="B39:AA39"/>
    <mergeCell ref="S43:AD43"/>
    <mergeCell ref="AB38:AC38"/>
    <mergeCell ref="AB40:AC40"/>
    <mergeCell ref="AB41:AC41"/>
    <mergeCell ref="B41:AA41"/>
    <mergeCell ref="AB39:AC39"/>
    <mergeCell ref="B38:AA38"/>
    <mergeCell ref="E43:L43"/>
    <mergeCell ref="B2:AD2"/>
    <mergeCell ref="B1:AD1"/>
    <mergeCell ref="B5:E5"/>
    <mergeCell ref="G7:H7"/>
    <mergeCell ref="L7:N7"/>
    <mergeCell ref="W7:Z7"/>
    <mergeCell ref="O7:R7"/>
    <mergeCell ref="F3:L3"/>
    <mergeCell ref="M3:T3"/>
    <mergeCell ref="AB31:AC31"/>
    <mergeCell ref="B6:C7"/>
    <mergeCell ref="B10:C10"/>
    <mergeCell ref="G10:H10"/>
    <mergeCell ref="B12:F12"/>
    <mergeCell ref="O10:R10"/>
    <mergeCell ref="B15:AD15"/>
    <mergeCell ref="L12:L14"/>
    <mergeCell ref="G12:K12"/>
    <mergeCell ref="U12:AD12"/>
    <mergeCell ref="Y14:AD14"/>
    <mergeCell ref="AB36:AC36"/>
    <mergeCell ref="U23:AD23"/>
    <mergeCell ref="U20:AD20"/>
    <mergeCell ref="C16:I17"/>
    <mergeCell ref="C21:I21"/>
    <mergeCell ref="T16:T25"/>
    <mergeCell ref="K25:S25"/>
    <mergeCell ref="AB34:AC34"/>
    <mergeCell ref="AB29:AC29"/>
    <mergeCell ref="AB37:AC37"/>
    <mergeCell ref="B9:C9"/>
    <mergeCell ref="G9:H9"/>
    <mergeCell ref="M12:S12"/>
    <mergeCell ref="AB28:AC28"/>
    <mergeCell ref="U19:AD19"/>
    <mergeCell ref="B13:F14"/>
    <mergeCell ref="B28:AA28"/>
    <mergeCell ref="U26:Z26"/>
    <mergeCell ref="B11:AD11"/>
    <mergeCell ref="AA26:AD26"/>
    <mergeCell ref="AB32:AC32"/>
    <mergeCell ref="AB33:AC33"/>
    <mergeCell ref="T12:T14"/>
    <mergeCell ref="B31:AA31"/>
    <mergeCell ref="M14:S14"/>
    <mergeCell ref="G14:K14"/>
    <mergeCell ref="B29:AA29"/>
    <mergeCell ref="B30:AA30"/>
    <mergeCell ref="B26:J26"/>
    <mergeCell ref="B3:E3"/>
    <mergeCell ref="B4:E4"/>
    <mergeCell ref="L6:N6"/>
    <mergeCell ref="S6:V6"/>
    <mergeCell ref="D6:E6"/>
    <mergeCell ref="F6:H6"/>
    <mergeCell ref="I6:I10"/>
    <mergeCell ref="B8:C8"/>
    <mergeCell ref="O6:R6"/>
    <mergeCell ref="S7:T7"/>
    <mergeCell ref="B46:F46"/>
    <mergeCell ref="S46:V46"/>
    <mergeCell ref="G46:R46"/>
    <mergeCell ref="B45:AD45"/>
    <mergeCell ref="X46:AD46"/>
    <mergeCell ref="U13:X14"/>
    <mergeCell ref="B27:AD27"/>
    <mergeCell ref="AB30:AC30"/>
    <mergeCell ref="K26:S26"/>
    <mergeCell ref="K24:S24"/>
    <mergeCell ref="W10:Z10"/>
    <mergeCell ref="O8:R8"/>
    <mergeCell ref="O9:R9"/>
    <mergeCell ref="S8:T8"/>
    <mergeCell ref="U3:AD3"/>
    <mergeCell ref="U7:V7"/>
    <mergeCell ref="U8:V8"/>
    <mergeCell ref="AA8:AD8"/>
    <mergeCell ref="S9:T9"/>
    <mergeCell ref="U10:V10"/>
    <mergeCell ref="G8:H8"/>
    <mergeCell ref="M4:T4"/>
    <mergeCell ref="U4:AD4"/>
    <mergeCell ref="F5:AD5"/>
    <mergeCell ref="X6:Z6"/>
    <mergeCell ref="F4:L4"/>
    <mergeCell ref="AA6:AD6"/>
    <mergeCell ref="L8:N8"/>
    <mergeCell ref="AA7:AD7"/>
    <mergeCell ref="W8:Z8"/>
  </mergeCells>
  <printOptions horizontalCentered="1" verticalCentered="1"/>
  <pageMargins left="0.32" right="0.21" top="0.34" bottom="0.34" header="0" footer="0"/>
  <pageSetup fitToHeight="1" fitToWidth="1" horizontalDpi="600" verticalDpi="600" orientation="portrait" scale="61" r:id="rId1"/>
</worksheet>
</file>

<file path=xl/worksheets/sheet5.xml><?xml version="1.0" encoding="utf-8"?>
<worksheet xmlns="http://schemas.openxmlformats.org/spreadsheetml/2006/main" xmlns:r="http://schemas.openxmlformats.org/officeDocument/2006/relationships">
  <sheetPr>
    <pageSetUpPr fitToPage="1"/>
  </sheetPr>
  <dimension ref="A1:AD71"/>
  <sheetViews>
    <sheetView zoomScalePageLayoutView="0" workbookViewId="0" topLeftCell="A1">
      <selection activeCell="B2" sqref="B2:AA3"/>
    </sheetView>
  </sheetViews>
  <sheetFormatPr defaultColWidth="8.00390625" defaultRowHeight="12.75"/>
  <cols>
    <col min="1" max="1" width="10.50390625" style="878" customWidth="1"/>
    <col min="2" max="2" width="11.875" style="878" customWidth="1"/>
    <col min="3" max="3" width="5.625" style="878" customWidth="1"/>
    <col min="4" max="4" width="6.375" style="878" customWidth="1"/>
    <col min="5" max="5" width="13.50390625" style="878" customWidth="1"/>
    <col min="6" max="6" width="1.4921875" style="878" customWidth="1"/>
    <col min="7" max="7" width="6.50390625" style="878" customWidth="1"/>
    <col min="8" max="8" width="2.25390625" style="878" customWidth="1"/>
    <col min="9" max="9" width="3.375" style="878" customWidth="1"/>
    <col min="10" max="10" width="4.625" style="878" customWidth="1"/>
    <col min="11" max="11" width="2.50390625" style="878" customWidth="1"/>
    <col min="12" max="12" width="5.125" style="878" customWidth="1"/>
    <col min="13" max="14" width="1.625" style="878" customWidth="1"/>
    <col min="15" max="15" width="5.75390625" style="878" customWidth="1"/>
    <col min="16" max="16" width="1.875" style="878" customWidth="1"/>
    <col min="17" max="17" width="5.75390625" style="878" customWidth="1"/>
    <col min="18" max="18" width="7.125" style="878" customWidth="1"/>
    <col min="19" max="19" width="0.6171875" style="878" customWidth="1"/>
    <col min="20" max="20" width="1.875" style="878" customWidth="1"/>
    <col min="21" max="22" width="8.00390625" style="878" customWidth="1"/>
    <col min="23" max="23" width="7.75390625" style="878" customWidth="1"/>
    <col min="24" max="24" width="8.00390625" style="878" hidden="1" customWidth="1"/>
    <col min="25" max="25" width="5.75390625" style="878" customWidth="1"/>
    <col min="26" max="26" width="2.00390625" style="878" customWidth="1"/>
    <col min="27" max="27" width="9.25390625" style="878" customWidth="1"/>
    <col min="28" max="16384" width="8.00390625" style="878" customWidth="1"/>
  </cols>
  <sheetData>
    <row r="1" spans="2:27" ht="13.5" thickBot="1">
      <c r="B1" s="879"/>
      <c r="C1" s="858"/>
      <c r="D1" s="858"/>
      <c r="E1" s="858"/>
      <c r="F1" s="858"/>
      <c r="G1" s="858"/>
      <c r="H1" s="858"/>
      <c r="I1" s="858"/>
      <c r="J1" s="858"/>
      <c r="K1" s="858"/>
      <c r="L1" s="858"/>
      <c r="M1" s="858"/>
      <c r="N1" s="858"/>
      <c r="O1" s="858"/>
      <c r="P1" s="858"/>
      <c r="Q1" s="858"/>
      <c r="R1" s="858"/>
      <c r="S1" s="858"/>
      <c r="T1" s="858"/>
      <c r="U1" s="858"/>
      <c r="V1" s="858"/>
      <c r="W1" s="858"/>
      <c r="X1" s="858"/>
      <c r="Y1" s="858"/>
      <c r="Z1" s="858"/>
      <c r="AA1" s="880"/>
    </row>
    <row r="2" spans="2:27" ht="30" customHeight="1">
      <c r="B2" s="1386" t="s">
        <v>403</v>
      </c>
      <c r="C2" s="1450"/>
      <c r="D2" s="1450"/>
      <c r="E2" s="1450"/>
      <c r="F2" s="1450"/>
      <c r="G2" s="1450"/>
      <c r="H2" s="1450"/>
      <c r="I2" s="1450"/>
      <c r="J2" s="1450"/>
      <c r="K2" s="1450"/>
      <c r="L2" s="1450"/>
      <c r="M2" s="1450"/>
      <c r="N2" s="1450"/>
      <c r="O2" s="1450"/>
      <c r="P2" s="1450"/>
      <c r="Q2" s="1450"/>
      <c r="R2" s="1450"/>
      <c r="S2" s="1450"/>
      <c r="T2" s="1450"/>
      <c r="U2" s="1450"/>
      <c r="V2" s="1450"/>
      <c r="W2" s="1450"/>
      <c r="X2" s="1450"/>
      <c r="Y2" s="1450"/>
      <c r="Z2" s="1450"/>
      <c r="AA2" s="1451"/>
    </row>
    <row r="3" spans="2:27" ht="147" customHeight="1" thickBot="1">
      <c r="B3" s="1452"/>
      <c r="C3" s="1453"/>
      <c r="D3" s="1453"/>
      <c r="E3" s="1453"/>
      <c r="F3" s="1453"/>
      <c r="G3" s="1453"/>
      <c r="H3" s="1453"/>
      <c r="I3" s="1453"/>
      <c r="J3" s="1453"/>
      <c r="K3" s="1453"/>
      <c r="L3" s="1453"/>
      <c r="M3" s="1453"/>
      <c r="N3" s="1453"/>
      <c r="O3" s="1453"/>
      <c r="P3" s="1453"/>
      <c r="Q3" s="1453"/>
      <c r="R3" s="1453"/>
      <c r="S3" s="1453"/>
      <c r="T3" s="1453"/>
      <c r="U3" s="1453"/>
      <c r="V3" s="1453"/>
      <c r="W3" s="1453"/>
      <c r="X3" s="1453"/>
      <c r="Y3" s="1453"/>
      <c r="Z3" s="1453"/>
      <c r="AA3" s="1454"/>
    </row>
    <row r="4" spans="2:27" ht="30.75" thickBot="1">
      <c r="B4" s="1483" t="s">
        <v>404</v>
      </c>
      <c r="C4" s="1484"/>
      <c r="D4" s="1484"/>
      <c r="E4" s="1484"/>
      <c r="F4" s="1484"/>
      <c r="G4" s="1484"/>
      <c r="H4" s="1484"/>
      <c r="I4" s="1484"/>
      <c r="J4" s="1485"/>
      <c r="K4" s="1485"/>
      <c r="L4" s="1485"/>
      <c r="M4" s="1485"/>
      <c r="N4" s="1485"/>
      <c r="O4" s="1485"/>
      <c r="P4" s="1485"/>
      <c r="Q4" s="1485"/>
      <c r="R4" s="1485"/>
      <c r="S4" s="1485"/>
      <c r="T4" s="1485"/>
      <c r="U4" s="1485"/>
      <c r="V4" s="1485"/>
      <c r="W4" s="1485"/>
      <c r="X4" s="1485"/>
      <c r="Y4" s="1485"/>
      <c r="Z4" s="1485"/>
      <c r="AA4" s="1456"/>
    </row>
    <row r="5" spans="2:27" ht="33" customHeight="1" thickBot="1">
      <c r="B5" s="1455"/>
      <c r="C5" s="1410"/>
      <c r="D5" s="1410"/>
      <c r="E5" s="1410"/>
      <c r="F5" s="1410"/>
      <c r="G5" s="1410"/>
      <c r="H5" s="1410"/>
      <c r="I5" s="1410"/>
      <c r="J5" s="1410"/>
      <c r="K5" s="1410"/>
      <c r="L5" s="1410"/>
      <c r="M5" s="1410"/>
      <c r="N5" s="1410"/>
      <c r="O5" s="1410"/>
      <c r="P5" s="1410"/>
      <c r="Q5" s="1410"/>
      <c r="R5" s="1410"/>
      <c r="S5" s="1410"/>
      <c r="T5" s="1410"/>
      <c r="U5" s="1410"/>
      <c r="V5" s="1410"/>
      <c r="W5" s="1410"/>
      <c r="X5" s="1410"/>
      <c r="Y5" s="1410"/>
      <c r="Z5" s="1410"/>
      <c r="AA5" s="1456"/>
    </row>
    <row r="6" spans="1:29" s="883" customFormat="1" ht="30" customHeight="1" thickBot="1">
      <c r="A6" s="881"/>
      <c r="B6" s="1457" t="s">
        <v>296</v>
      </c>
      <c r="C6" s="1265"/>
      <c r="D6" s="1449" t="str">
        <f>'RACE '!D1</f>
        <v>Enter Contest Name</v>
      </c>
      <c r="E6" s="1449"/>
      <c r="F6" s="1449"/>
      <c r="G6" s="1449"/>
      <c r="H6" s="1449"/>
      <c r="I6" s="1449"/>
      <c r="J6" s="1449"/>
      <c r="K6" s="1449"/>
      <c r="L6" s="1449"/>
      <c r="M6" s="1449"/>
      <c r="N6" s="1486" t="s">
        <v>297</v>
      </c>
      <c r="O6" s="1487"/>
      <c r="P6" s="1487"/>
      <c r="Q6" s="1487"/>
      <c r="R6" s="1443" t="str">
        <f>'RACE '!J2</f>
        <v>xx/xx/xx</v>
      </c>
      <c r="S6" s="1444"/>
      <c r="T6" s="1444"/>
      <c r="U6" s="1444"/>
      <c r="V6" s="1444"/>
      <c r="W6" s="1444"/>
      <c r="X6" s="1444"/>
      <c r="Y6" s="1444"/>
      <c r="Z6" s="1444"/>
      <c r="AA6" s="1445"/>
      <c r="AB6" s="882"/>
      <c r="AC6" s="883" t="s">
        <v>77</v>
      </c>
    </row>
    <row r="7" spans="1:28" ht="30" customHeight="1" thickBot="1">
      <c r="A7" s="884"/>
      <c r="B7" s="1458" t="s">
        <v>298</v>
      </c>
      <c r="C7" s="1459"/>
      <c r="D7" s="1460" t="str">
        <f>'RACE '!A2</f>
        <v>Contestant Name</v>
      </c>
      <c r="E7" s="1460"/>
      <c r="F7" s="1460"/>
      <c r="G7" s="1460"/>
      <c r="H7" s="1460"/>
      <c r="I7" s="1460"/>
      <c r="J7" s="1460"/>
      <c r="K7" s="1460"/>
      <c r="L7" s="1460"/>
      <c r="M7" s="1460"/>
      <c r="N7" s="1461" t="s">
        <v>299</v>
      </c>
      <c r="O7" s="1462"/>
      <c r="P7" s="1462"/>
      <c r="Q7" s="1462"/>
      <c r="R7" s="1446" t="str">
        <f>'RACE '!A4</f>
        <v>Boat Name</v>
      </c>
      <c r="S7" s="1447"/>
      <c r="T7" s="1447"/>
      <c r="U7" s="1447"/>
      <c r="V7" s="1447"/>
      <c r="W7" s="1447"/>
      <c r="X7" s="1447"/>
      <c r="Y7" s="1447"/>
      <c r="Z7" s="1447"/>
      <c r="AA7" s="1448"/>
      <c r="AB7" s="885"/>
    </row>
    <row r="8" spans="2:28" ht="12.75" customHeight="1" thickBot="1">
      <c r="B8" s="1289"/>
      <c r="C8" s="1350"/>
      <c r="D8" s="1350"/>
      <c r="E8" s="1350"/>
      <c r="F8" s="1350"/>
      <c r="G8" s="1350"/>
      <c r="H8" s="1350"/>
      <c r="I8" s="1350"/>
      <c r="J8" s="1350"/>
      <c r="K8" s="1350"/>
      <c r="L8" s="1350"/>
      <c r="M8" s="1350"/>
      <c r="N8" s="1350"/>
      <c r="O8" s="1350"/>
      <c r="P8" s="1350"/>
      <c r="Q8" s="1350"/>
      <c r="R8" s="1350"/>
      <c r="S8" s="1350"/>
      <c r="T8" s="1350"/>
      <c r="U8" s="1350"/>
      <c r="V8" s="1350"/>
      <c r="W8" s="1350"/>
      <c r="X8" s="1350"/>
      <c r="Y8" s="1350"/>
      <c r="Z8" s="1350"/>
      <c r="AA8" s="1550"/>
      <c r="AB8" s="885"/>
    </row>
    <row r="9" spans="2:27" ht="30" customHeight="1" thickBot="1">
      <c r="B9" s="1289" t="s">
        <v>378</v>
      </c>
      <c r="C9" s="1551"/>
      <c r="D9" s="1551"/>
      <c r="E9" s="1552"/>
      <c r="F9" s="886"/>
      <c r="G9" s="1574" t="s">
        <v>379</v>
      </c>
      <c r="H9" s="1575"/>
      <c r="I9" s="1575"/>
      <c r="J9" s="1575"/>
      <c r="K9" s="1575"/>
      <c r="L9" s="1576"/>
      <c r="M9" s="884"/>
      <c r="N9" s="1574" t="s">
        <v>286</v>
      </c>
      <c r="O9" s="1575"/>
      <c r="P9" s="1575"/>
      <c r="Q9" s="1575"/>
      <c r="R9" s="1575"/>
      <c r="S9" s="1576"/>
      <c r="T9" s="886"/>
      <c r="U9" s="1574" t="s">
        <v>222</v>
      </c>
      <c r="V9" s="1575"/>
      <c r="W9" s="1575"/>
      <c r="X9" s="1575"/>
      <c r="Y9" s="1577"/>
      <c r="Z9" s="1577"/>
      <c r="AA9" s="1578"/>
    </row>
    <row r="10" spans="2:27" s="887" customFormat="1" ht="30" customHeight="1">
      <c r="B10" s="1604" t="s">
        <v>210</v>
      </c>
      <c r="C10" s="1605"/>
      <c r="D10" s="1605"/>
      <c r="E10" s="1606"/>
      <c r="F10" s="886"/>
      <c r="G10" s="1289" t="s">
        <v>104</v>
      </c>
      <c r="H10" s="1551"/>
      <c r="I10" s="1551"/>
      <c r="J10" s="1551"/>
      <c r="K10" s="1551"/>
      <c r="L10" s="1552"/>
      <c r="M10" s="888"/>
      <c r="N10" s="1589" t="s">
        <v>401</v>
      </c>
      <c r="O10" s="1590"/>
      <c r="P10" s="1590"/>
      <c r="Q10" s="1590"/>
      <c r="R10" s="1590"/>
      <c r="S10" s="1591"/>
      <c r="T10" s="886"/>
      <c r="U10" s="1289" t="s">
        <v>211</v>
      </c>
      <c r="V10" s="1551"/>
      <c r="W10" s="1551"/>
      <c r="X10" s="1552"/>
      <c r="Y10" s="1579" t="s">
        <v>380</v>
      </c>
      <c r="Z10" s="1580"/>
      <c r="AA10" s="1581"/>
    </row>
    <row r="11" spans="2:27" s="887" customFormat="1" ht="30" customHeight="1" thickBot="1">
      <c r="B11" s="1607" t="s">
        <v>381</v>
      </c>
      <c r="C11" s="1608"/>
      <c r="D11" s="1608"/>
      <c r="E11" s="1609"/>
      <c r="F11" s="886"/>
      <c r="G11" s="1556" t="s">
        <v>381</v>
      </c>
      <c r="H11" s="1557"/>
      <c r="I11" s="1557"/>
      <c r="J11" s="1557"/>
      <c r="K11" s="1557"/>
      <c r="L11" s="1558"/>
      <c r="M11" s="888"/>
      <c r="N11" s="1592"/>
      <c r="O11" s="1593"/>
      <c r="P11" s="1593"/>
      <c r="Q11" s="1593"/>
      <c r="R11" s="1593"/>
      <c r="S11" s="1594"/>
      <c r="T11" s="886"/>
      <c r="U11" s="1601" t="s">
        <v>212</v>
      </c>
      <c r="V11" s="1602"/>
      <c r="W11" s="1602"/>
      <c r="X11" s="1603"/>
      <c r="Y11" s="1582"/>
      <c r="Z11" s="1583"/>
      <c r="AA11" s="1584"/>
    </row>
    <row r="12" spans="2:28" s="887" customFormat="1" ht="30" customHeight="1" thickBot="1">
      <c r="B12" s="1585" t="s">
        <v>308</v>
      </c>
      <c r="C12" s="1561"/>
      <c r="D12" s="1561"/>
      <c r="E12" s="1562"/>
      <c r="F12" s="889"/>
      <c r="G12" s="1559" t="s">
        <v>308</v>
      </c>
      <c r="H12" s="1560"/>
      <c r="I12" s="1561"/>
      <c r="J12" s="1561"/>
      <c r="K12" s="1561"/>
      <c r="L12" s="1562"/>
      <c r="M12" s="890"/>
      <c r="N12" s="1595"/>
      <c r="O12" s="1596"/>
      <c r="P12" s="1596"/>
      <c r="Q12" s="1596"/>
      <c r="R12" s="1596"/>
      <c r="S12" s="1597"/>
      <c r="T12" s="889"/>
      <c r="U12" s="891" t="s">
        <v>223</v>
      </c>
      <c r="V12" s="1559" t="s">
        <v>354</v>
      </c>
      <c r="W12" s="1561"/>
      <c r="X12" s="1562"/>
      <c r="Y12" s="1582"/>
      <c r="Z12" s="1583"/>
      <c r="AA12" s="1584"/>
      <c r="AB12" s="892"/>
    </row>
    <row r="13" spans="2:28" s="887" customFormat="1" ht="30" customHeight="1" thickBot="1">
      <c r="B13" s="1563">
        <f>'RACE '!Y9</f>
        <v>0.5239697588777777</v>
      </c>
      <c r="C13" s="1564"/>
      <c r="D13" s="1564"/>
      <c r="E13" s="1565"/>
      <c r="F13" s="889"/>
      <c r="G13" s="1569">
        <f>'RACE '!AG9</f>
        <v>0</v>
      </c>
      <c r="H13" s="1570"/>
      <c r="I13" s="1570"/>
      <c r="J13" s="1570"/>
      <c r="K13" s="1570"/>
      <c r="L13" s="1571"/>
      <c r="M13" s="893"/>
      <c r="N13" s="1598"/>
      <c r="O13" s="1599"/>
      <c r="P13" s="1599"/>
      <c r="Q13" s="1599"/>
      <c r="R13" s="1599"/>
      <c r="S13" s="1600"/>
      <c r="T13" s="889"/>
      <c r="U13" s="894" t="s">
        <v>224</v>
      </c>
      <c r="V13" s="1615">
        <f>ABS(B13-G13)</f>
        <v>0.5239697588777777</v>
      </c>
      <c r="W13" s="1616"/>
      <c r="X13" s="1617"/>
      <c r="Y13" s="1582"/>
      <c r="Z13" s="1583"/>
      <c r="AA13" s="1584"/>
      <c r="AB13" s="892"/>
    </row>
    <row r="14" spans="2:28" ht="30" customHeight="1">
      <c r="B14" s="1586" t="s">
        <v>225</v>
      </c>
      <c r="C14" s="1553" t="s">
        <v>309</v>
      </c>
      <c r="D14" s="1554"/>
      <c r="E14" s="1555"/>
      <c r="F14" s="895"/>
      <c r="G14" s="1566" t="s">
        <v>382</v>
      </c>
      <c r="H14" s="1567"/>
      <c r="I14" s="1567"/>
      <c r="J14" s="1567"/>
      <c r="K14" s="1567"/>
      <c r="L14" s="1568"/>
      <c r="M14" s="895"/>
      <c r="N14" s="1566" t="s">
        <v>383</v>
      </c>
      <c r="O14" s="1567"/>
      <c r="P14" s="1567"/>
      <c r="Q14" s="1567"/>
      <c r="R14" s="1567"/>
      <c r="S14" s="1568"/>
      <c r="T14" s="895"/>
      <c r="U14" s="1566" t="s">
        <v>226</v>
      </c>
      <c r="V14" s="1572"/>
      <c r="W14" s="1572"/>
      <c r="X14" s="1573"/>
      <c r="Y14" s="1582"/>
      <c r="Z14" s="1583"/>
      <c r="AA14" s="1584"/>
      <c r="AB14" s="885"/>
    </row>
    <row r="15" spans="2:28" ht="30" customHeight="1" thickBot="1">
      <c r="B15" s="1587"/>
      <c r="C15" s="1610" t="s">
        <v>308</v>
      </c>
      <c r="D15" s="1611"/>
      <c r="E15" s="1612"/>
      <c r="F15" s="896"/>
      <c r="G15" s="1613" t="s">
        <v>308</v>
      </c>
      <c r="H15" s="1614"/>
      <c r="I15" s="1611"/>
      <c r="J15" s="1611"/>
      <c r="K15" s="1611"/>
      <c r="L15" s="1612"/>
      <c r="M15" s="895"/>
      <c r="N15" s="1613" t="s">
        <v>308</v>
      </c>
      <c r="O15" s="1614"/>
      <c r="P15" s="1611"/>
      <c r="Q15" s="1611"/>
      <c r="R15" s="1611"/>
      <c r="S15" s="1612"/>
      <c r="T15" s="895"/>
      <c r="U15" s="1585" t="s">
        <v>308</v>
      </c>
      <c r="V15" s="1561"/>
      <c r="W15" s="1561"/>
      <c r="X15" s="1562"/>
      <c r="Y15" s="1096" t="s">
        <v>227</v>
      </c>
      <c r="Z15" s="1588"/>
      <c r="AA15" s="897" t="s">
        <v>97</v>
      </c>
      <c r="AB15" s="885"/>
    </row>
    <row r="16" spans="2:28" ht="30" customHeight="1" thickBot="1">
      <c r="B16" s="898">
        <v>1</v>
      </c>
      <c r="C16" s="1499">
        <f>'RACE '!X18</f>
        <v>0.0119328971</v>
      </c>
      <c r="D16" s="1546"/>
      <c r="E16" s="1547"/>
      <c r="F16" s="899"/>
      <c r="G16" s="1496">
        <f>'RACE '!AG18</f>
        <v>0</v>
      </c>
      <c r="H16" s="1497"/>
      <c r="I16" s="1497"/>
      <c r="J16" s="1497"/>
      <c r="K16" s="1497"/>
      <c r="L16" s="1498"/>
      <c r="M16" s="900"/>
      <c r="N16" s="1542">
        <f>IF('RACE '!AH18&gt;0,'RACE '!AH18,"")</f>
      </c>
      <c r="O16" s="1543"/>
      <c r="P16" s="1543"/>
      <c r="Q16" s="1543"/>
      <c r="R16" s="1543"/>
      <c r="S16" s="1544"/>
      <c r="T16" s="899"/>
      <c r="U16" s="1499">
        <f>'RACE '!AI18</f>
        <v>0</v>
      </c>
      <c r="V16" s="1500"/>
      <c r="W16" s="1500"/>
      <c r="X16" s="1501"/>
      <c r="Y16" s="1548">
        <f>IF('RACE '!AJ18&lt;0,-'RACE '!AJ18,"")</f>
      </c>
      <c r="Z16" s="1549"/>
      <c r="AA16" s="946">
        <f>IF('RACE '!AJ18&gt;0,'RACE '!AJ18,"")</f>
      </c>
      <c r="AB16" s="885"/>
    </row>
    <row r="17" spans="2:28" ht="30" customHeight="1" thickBot="1">
      <c r="B17" s="901">
        <v>2</v>
      </c>
      <c r="C17" s="1499">
        <f>'RACE '!X27</f>
        <v>0.014351884</v>
      </c>
      <c r="D17" s="1546"/>
      <c r="E17" s="1547"/>
      <c r="F17" s="902"/>
      <c r="G17" s="1496">
        <f>'RACE '!AG27</f>
        <v>0</v>
      </c>
      <c r="H17" s="1497"/>
      <c r="I17" s="1497"/>
      <c r="J17" s="1497"/>
      <c r="K17" s="1497"/>
      <c r="L17" s="1498"/>
      <c r="M17" s="900"/>
      <c r="N17" s="1542">
        <f>IF('RACE '!AH27&gt;0,'RACE '!AH27,"")</f>
      </c>
      <c r="O17" s="1543"/>
      <c r="P17" s="1543"/>
      <c r="Q17" s="1543"/>
      <c r="R17" s="1543"/>
      <c r="S17" s="1544"/>
      <c r="T17" s="902"/>
      <c r="U17" s="1499">
        <f>'RACE '!AI27</f>
        <v>0</v>
      </c>
      <c r="V17" s="1500"/>
      <c r="W17" s="1500"/>
      <c r="X17" s="1501"/>
      <c r="Y17" s="1481">
        <f>IF('RACE '!AJ27&lt;0,-'RACE '!AJ27,"")</f>
      </c>
      <c r="Z17" s="1482"/>
      <c r="AA17" s="946">
        <f>IF('RACE '!AJ27&gt;0,'RACE '!AJ27,"")</f>
      </c>
      <c r="AB17" s="885"/>
    </row>
    <row r="18" spans="2:28" ht="30" customHeight="1" thickBot="1">
      <c r="B18" s="844">
        <v>3</v>
      </c>
      <c r="C18" s="1499">
        <f>'RACE '!X36</f>
        <v>0.0090972426</v>
      </c>
      <c r="D18" s="1546"/>
      <c r="E18" s="1547"/>
      <c r="F18" s="902"/>
      <c r="G18" s="1496">
        <f>'RACE '!AG36</f>
        <v>0</v>
      </c>
      <c r="H18" s="1497"/>
      <c r="I18" s="1497"/>
      <c r="J18" s="1497"/>
      <c r="K18" s="1497"/>
      <c r="L18" s="1498"/>
      <c r="M18" s="900"/>
      <c r="N18" s="1542">
        <f>IF('RACE '!AH36&gt;0,'RACE '!AH36,"")</f>
      </c>
      <c r="O18" s="1543"/>
      <c r="P18" s="1543"/>
      <c r="Q18" s="1543"/>
      <c r="R18" s="1543"/>
      <c r="S18" s="1544"/>
      <c r="T18" s="902"/>
      <c r="U18" s="1499">
        <f>'RACE '!AI36</f>
        <v>0</v>
      </c>
      <c r="V18" s="1500"/>
      <c r="W18" s="1500"/>
      <c r="X18" s="1501"/>
      <c r="Y18" s="1481">
        <f>IF('RACE '!AJ36&lt;0,-'RACE '!AJ36,"")</f>
      </c>
      <c r="Z18" s="1482"/>
      <c r="AA18" s="946">
        <f>IF('RACE '!AJ36&gt;0,'RACE '!AJ36,"")</f>
      </c>
      <c r="AB18" s="885"/>
    </row>
    <row r="19" spans="2:28" ht="30" customHeight="1" thickBot="1">
      <c r="B19" s="901">
        <v>4</v>
      </c>
      <c r="C19" s="1499">
        <f>'RACE '!X45</f>
        <v>0.0175116133</v>
      </c>
      <c r="D19" s="1546"/>
      <c r="E19" s="1547"/>
      <c r="F19" s="902"/>
      <c r="G19" s="1496">
        <f>'RACE '!AG45</f>
        <v>0</v>
      </c>
      <c r="H19" s="1497"/>
      <c r="I19" s="1497"/>
      <c r="J19" s="1497"/>
      <c r="K19" s="1497"/>
      <c r="L19" s="1498"/>
      <c r="M19" s="900"/>
      <c r="N19" s="1542">
        <f>IF('RACE '!AH45&gt;0,'RACE '!AH45,"")</f>
      </c>
      <c r="O19" s="1543"/>
      <c r="P19" s="1543"/>
      <c r="Q19" s="1543"/>
      <c r="R19" s="1543"/>
      <c r="S19" s="1544"/>
      <c r="T19" s="902"/>
      <c r="U19" s="1499">
        <f>'RACE '!AI45</f>
        <v>0</v>
      </c>
      <c r="V19" s="1500"/>
      <c r="W19" s="1500"/>
      <c r="X19" s="1501"/>
      <c r="Y19" s="1481">
        <f>IF('RACE '!AJ45&lt;0,-'RACE '!AJ45,"")</f>
      </c>
      <c r="Z19" s="1482"/>
      <c r="AA19" s="946">
        <f>IF('RACE '!AJ45&gt;0,'RACE '!AJ45,"")</f>
      </c>
      <c r="AB19" s="885"/>
    </row>
    <row r="20" spans="2:28" ht="30" customHeight="1" thickBot="1">
      <c r="B20" s="844">
        <v>5</v>
      </c>
      <c r="C20" s="1499">
        <f>'RACE '!X54</f>
        <v>0.0134143819</v>
      </c>
      <c r="D20" s="1546"/>
      <c r="E20" s="1547"/>
      <c r="F20" s="902"/>
      <c r="G20" s="1496">
        <f>'RACE '!AG54</f>
        <v>0</v>
      </c>
      <c r="H20" s="1497"/>
      <c r="I20" s="1497"/>
      <c r="J20" s="1497"/>
      <c r="K20" s="1497"/>
      <c r="L20" s="1498"/>
      <c r="M20" s="903"/>
      <c r="N20" s="1542">
        <f>IF('RACE '!AH54&gt;0,'RACE '!AH54,"")</f>
      </c>
      <c r="O20" s="1543"/>
      <c r="P20" s="1543"/>
      <c r="Q20" s="1543"/>
      <c r="R20" s="1543"/>
      <c r="S20" s="1544"/>
      <c r="T20" s="902"/>
      <c r="U20" s="1499">
        <f>'RACE '!AI54</f>
        <v>0</v>
      </c>
      <c r="V20" s="1500"/>
      <c r="W20" s="1500"/>
      <c r="X20" s="1501"/>
      <c r="Y20" s="1481">
        <f>IF('RACE '!AJ54&lt;0,-'RACE '!AJ54,"")</f>
      </c>
      <c r="Z20" s="1482"/>
      <c r="AA20" s="946">
        <f>IF('RACE '!AJ54&gt;0,'RACE '!AJ54,"")</f>
      </c>
      <c r="AB20" s="885"/>
    </row>
    <row r="21" spans="2:28" ht="30" customHeight="1" thickBot="1">
      <c r="B21" s="901">
        <v>6</v>
      </c>
      <c r="C21" s="1499">
        <f>'RACE '!X63</f>
        <v>0</v>
      </c>
      <c r="D21" s="1546"/>
      <c r="E21" s="1547"/>
      <c r="F21" s="902"/>
      <c r="G21" s="1496">
        <f>'RACE '!AG63</f>
        <v>0</v>
      </c>
      <c r="H21" s="1497"/>
      <c r="I21" s="1497"/>
      <c r="J21" s="1497"/>
      <c r="K21" s="1497"/>
      <c r="L21" s="1498"/>
      <c r="M21" s="903"/>
      <c r="N21" s="1542">
        <f>IF('RACE '!AH63&gt;0,'RACE '!AH63,"")</f>
      </c>
      <c r="O21" s="1543"/>
      <c r="P21" s="1543"/>
      <c r="Q21" s="1543"/>
      <c r="R21" s="1543"/>
      <c r="S21" s="1544"/>
      <c r="T21" s="902"/>
      <c r="U21" s="1499">
        <f>'RACE '!AI63</f>
        <v>0</v>
      </c>
      <c r="V21" s="1500"/>
      <c r="W21" s="1500"/>
      <c r="X21" s="1501"/>
      <c r="Y21" s="1481">
        <f>IF('RACE '!AJ63&lt;0,-'RACE '!AJ63,"")</f>
      </c>
      <c r="Z21" s="1482"/>
      <c r="AA21" s="946">
        <f>IF('RACE '!AJ63&gt;0,'RACE '!AJ63,"")</f>
      </c>
      <c r="AB21" s="885"/>
    </row>
    <row r="22" spans="2:28" ht="30" customHeight="1" thickBot="1">
      <c r="B22" s="844">
        <v>7</v>
      </c>
      <c r="C22" s="1499">
        <f>'RACE '!X72</f>
        <v>0</v>
      </c>
      <c r="D22" s="1546"/>
      <c r="E22" s="1547"/>
      <c r="F22" s="902"/>
      <c r="G22" s="1496">
        <f>'RACE '!AG72</f>
        <v>0</v>
      </c>
      <c r="H22" s="1497"/>
      <c r="I22" s="1497"/>
      <c r="J22" s="1497"/>
      <c r="K22" s="1497"/>
      <c r="L22" s="1498"/>
      <c r="M22" s="903"/>
      <c r="N22" s="1542">
        <f>IF('RACE '!AH72&gt;0,'RACE '!AH72,"")</f>
      </c>
      <c r="O22" s="1543"/>
      <c r="P22" s="1543"/>
      <c r="Q22" s="1543"/>
      <c r="R22" s="1543"/>
      <c r="S22" s="1544"/>
      <c r="T22" s="902"/>
      <c r="U22" s="1499">
        <f>'RACE '!AI72</f>
        <v>0</v>
      </c>
      <c r="V22" s="1500"/>
      <c r="W22" s="1500"/>
      <c r="X22" s="1501"/>
      <c r="Y22" s="1481">
        <f>IF('RACE '!AJ72&lt;0,-'RACE '!AJ72,"")</f>
      </c>
      <c r="Z22" s="1482"/>
      <c r="AA22" s="946">
        <f>IF('RACE '!AJ72&gt;0,'RACE '!AJ72,"")</f>
      </c>
      <c r="AB22" s="885"/>
    </row>
    <row r="23" spans="2:28" ht="30" customHeight="1" thickBot="1">
      <c r="B23" s="904">
        <v>8</v>
      </c>
      <c r="C23" s="1499">
        <f>'RACE '!X81</f>
        <v>0</v>
      </c>
      <c r="D23" s="1546"/>
      <c r="E23" s="1547"/>
      <c r="F23" s="902"/>
      <c r="G23" s="1496">
        <f>'RACE '!AG81</f>
        <v>0</v>
      </c>
      <c r="H23" s="1497"/>
      <c r="I23" s="1497"/>
      <c r="J23" s="1497"/>
      <c r="K23" s="1497"/>
      <c r="L23" s="1498"/>
      <c r="M23" s="903"/>
      <c r="N23" s="1542">
        <f>IF('RACE '!AH81&gt;0,'RACE '!AH81,"")</f>
      </c>
      <c r="O23" s="1543"/>
      <c r="P23" s="1543"/>
      <c r="Q23" s="1543"/>
      <c r="R23" s="1543"/>
      <c r="S23" s="1544"/>
      <c r="T23" s="902"/>
      <c r="U23" s="1499">
        <f>'RACE '!AI81</f>
        <v>0</v>
      </c>
      <c r="V23" s="1500"/>
      <c r="W23" s="1500"/>
      <c r="X23" s="1501"/>
      <c r="Y23" s="1481">
        <f>IF('RACE '!AJ81&lt;0,-'RACE '!AJ81,"")</f>
      </c>
      <c r="Z23" s="1482"/>
      <c r="AA23" s="946">
        <f>IF('RACE '!AJ81&gt;0,'RACE '!AJ81,"")</f>
      </c>
      <c r="AB23" s="885"/>
    </row>
    <row r="24" spans="2:28" ht="30" customHeight="1" thickBot="1">
      <c r="B24" s="843" t="s">
        <v>213</v>
      </c>
      <c r="C24" s="1469">
        <f>'RACE '!X82</f>
        <v>0.0663080189</v>
      </c>
      <c r="D24" s="1470"/>
      <c r="E24" s="1471"/>
      <c r="F24" s="1467"/>
      <c r="G24" s="1464" t="s">
        <v>384</v>
      </c>
      <c r="H24" s="1465"/>
      <c r="I24" s="1465"/>
      <c r="J24" s="1465"/>
      <c r="K24" s="1465"/>
      <c r="L24" s="1465"/>
      <c r="M24" s="1465"/>
      <c r="N24" s="1465"/>
      <c r="O24" s="1466"/>
      <c r="P24" s="1537">
        <f>'RACE '!AI82</f>
        <v>0</v>
      </c>
      <c r="Q24" s="1538"/>
      <c r="R24" s="1538"/>
      <c r="S24" s="1539"/>
      <c r="T24" s="1467"/>
      <c r="U24" s="1472" t="s">
        <v>385</v>
      </c>
      <c r="V24" s="1473"/>
      <c r="W24" s="1473"/>
      <c r="X24" s="1474"/>
      <c r="Y24" s="1481">
        <f>SUM(Y17:Z23)</f>
        <v>0</v>
      </c>
      <c r="Z24" s="1495"/>
      <c r="AA24" s="947">
        <f>SUM(AA16:AA23)</f>
        <v>0</v>
      </c>
      <c r="AB24" s="885"/>
    </row>
    <row r="25" spans="2:30" ht="30" customHeight="1" thickBot="1">
      <c r="B25" s="898" t="s">
        <v>386</v>
      </c>
      <c r="C25" s="1488">
        <f>'RACE '!W82</f>
        <v>5729</v>
      </c>
      <c r="D25" s="1489"/>
      <c r="E25" s="1490"/>
      <c r="F25" s="1468"/>
      <c r="G25" s="1534" t="s">
        <v>387</v>
      </c>
      <c r="H25" s="1535"/>
      <c r="I25" s="1535"/>
      <c r="J25" s="1535"/>
      <c r="K25" s="1535"/>
      <c r="L25" s="1535"/>
      <c r="M25" s="1535"/>
      <c r="N25" s="1535"/>
      <c r="O25" s="1536"/>
      <c r="P25" s="1540">
        <f>P24/0.0000115741</f>
        <v>0</v>
      </c>
      <c r="Q25" s="1541"/>
      <c r="R25" s="1541"/>
      <c r="S25" s="1514"/>
      <c r="T25" s="1468"/>
      <c r="U25" s="1491"/>
      <c r="V25" s="1492"/>
      <c r="W25" s="1492"/>
      <c r="X25" s="905"/>
      <c r="Y25" s="1493"/>
      <c r="Z25" s="1492"/>
      <c r="AA25" s="1494"/>
      <c r="AB25" s="885"/>
      <c r="AD25" s="887" t="s">
        <v>77</v>
      </c>
    </row>
    <row r="26" spans="2:30" ht="30" customHeight="1" thickBot="1">
      <c r="B26" s="1060"/>
      <c r="C26" s="1265"/>
      <c r="D26" s="1265"/>
      <c r="E26" s="1463"/>
      <c r="F26" s="865"/>
      <c r="G26" s="1478"/>
      <c r="H26" s="1479"/>
      <c r="I26" s="1479"/>
      <c r="J26" s="1479"/>
      <c r="K26" s="1479"/>
      <c r="L26" s="1479"/>
      <c r="M26" s="1479"/>
      <c r="N26" s="1479"/>
      <c r="O26" s="1479"/>
      <c r="P26" s="1479"/>
      <c r="Q26" s="1479"/>
      <c r="R26" s="1479"/>
      <c r="S26" s="1480"/>
      <c r="T26" s="865"/>
      <c r="U26" s="1472" t="s">
        <v>388</v>
      </c>
      <c r="V26" s="1545"/>
      <c r="W26" s="1545"/>
      <c r="X26" s="906"/>
      <c r="Y26" s="1475">
        <f>Y24+AA24</f>
        <v>0</v>
      </c>
      <c r="Z26" s="1476"/>
      <c r="AA26" s="1477"/>
      <c r="AB26" s="885"/>
      <c r="AD26" s="887"/>
    </row>
    <row r="27" spans="2:30" ht="10.5" customHeight="1" thickBot="1">
      <c r="B27" s="1060"/>
      <c r="C27" s="1265"/>
      <c r="D27" s="1265"/>
      <c r="E27" s="1265"/>
      <c r="F27" s="1265"/>
      <c r="G27" s="1265"/>
      <c r="H27" s="1265"/>
      <c r="I27" s="1265"/>
      <c r="J27" s="1265"/>
      <c r="K27" s="1265"/>
      <c r="L27" s="1265"/>
      <c r="M27" s="1265"/>
      <c r="N27" s="1265"/>
      <c r="O27" s="1265"/>
      <c r="P27" s="1265"/>
      <c r="Q27" s="1265"/>
      <c r="R27" s="1265"/>
      <c r="S27" s="1265"/>
      <c r="T27" s="1265"/>
      <c r="U27" s="1265"/>
      <c r="V27" s="1265"/>
      <c r="W27" s="1265"/>
      <c r="X27" s="1265"/>
      <c r="Y27" s="1265"/>
      <c r="Z27" s="1265"/>
      <c r="AA27" s="1463"/>
      <c r="AB27" s="885"/>
      <c r="AD27" s="887"/>
    </row>
    <row r="28" spans="1:28" ht="30" customHeight="1" thickBot="1">
      <c r="A28" s="887"/>
      <c r="B28" s="1523" t="s">
        <v>389</v>
      </c>
      <c r="C28" s="1524"/>
      <c r="D28" s="1524"/>
      <c r="E28" s="1524"/>
      <c r="F28" s="1524"/>
      <c r="G28" s="1524"/>
      <c r="H28" s="1524"/>
      <c r="I28" s="1524"/>
      <c r="J28" s="1524"/>
      <c r="K28" s="1524"/>
      <c r="L28" s="1524"/>
      <c r="M28" s="1524"/>
      <c r="N28" s="1524"/>
      <c r="O28" s="1524"/>
      <c r="P28" s="1524"/>
      <c r="Q28" s="1524"/>
      <c r="R28" s="1524"/>
      <c r="S28" s="1524"/>
      <c r="T28" s="1524"/>
      <c r="U28" s="1524"/>
      <c r="V28" s="1524"/>
      <c r="W28" s="1524"/>
      <c r="X28" s="1524"/>
      <c r="Y28" s="1524"/>
      <c r="Z28" s="1524"/>
      <c r="AA28" s="1525"/>
      <c r="AB28" s="885"/>
    </row>
    <row r="29" spans="2:28" s="907" customFormat="1" ht="30" customHeight="1" thickBot="1">
      <c r="B29" s="1505" t="s">
        <v>394</v>
      </c>
      <c r="C29" s="1506"/>
      <c r="D29" s="1506"/>
      <c r="E29" s="1506"/>
      <c r="F29" s="1506"/>
      <c r="G29" s="1506"/>
      <c r="H29" s="1506"/>
      <c r="I29" s="1506"/>
      <c r="J29" s="1506"/>
      <c r="K29" s="1506"/>
      <c r="L29" s="1506"/>
      <c r="M29" s="1506"/>
      <c r="N29" s="1506"/>
      <c r="O29" s="1506"/>
      <c r="P29" s="1506"/>
      <c r="Q29" s="1506"/>
      <c r="R29" s="1506"/>
      <c r="S29" s="1506"/>
      <c r="T29" s="1507"/>
      <c r="U29" s="1511">
        <f>AA24-Y24</f>
        <v>0</v>
      </c>
      <c r="V29" s="1512"/>
      <c r="W29" s="1512"/>
      <c r="X29" s="1513"/>
      <c r="Y29" s="1513"/>
      <c r="Z29" s="1513"/>
      <c r="AA29" s="1514"/>
      <c r="AB29" s="908"/>
    </row>
    <row r="30" spans="2:29" s="907" customFormat="1" ht="30" customHeight="1" thickBot="1">
      <c r="B30" s="1508" t="s">
        <v>390</v>
      </c>
      <c r="C30" s="1509"/>
      <c r="D30" s="1509"/>
      <c r="E30" s="1509"/>
      <c r="F30" s="1509"/>
      <c r="G30" s="1509"/>
      <c r="H30" s="1509"/>
      <c r="I30" s="1509"/>
      <c r="J30" s="1509"/>
      <c r="K30" s="1509"/>
      <c r="L30" s="1509"/>
      <c r="M30" s="1509"/>
      <c r="N30" s="1509"/>
      <c r="O30" s="1509"/>
      <c r="P30" s="1509"/>
      <c r="Q30" s="1509"/>
      <c r="R30" s="1509"/>
      <c r="S30" s="1509"/>
      <c r="T30" s="1510"/>
      <c r="U30" s="1511">
        <f>P25-C25</f>
        <v>-5729</v>
      </c>
      <c r="V30" s="1512"/>
      <c r="W30" s="1512"/>
      <c r="X30" s="1513"/>
      <c r="Y30" s="1513"/>
      <c r="Z30" s="1513"/>
      <c r="AA30" s="1514"/>
      <c r="AB30" s="908"/>
      <c r="AC30" s="909" t="s">
        <v>77</v>
      </c>
    </row>
    <row r="31" spans="2:28" s="907" customFormat="1" ht="30" customHeight="1" thickBot="1">
      <c r="B31" s="1508" t="s">
        <v>395</v>
      </c>
      <c r="C31" s="1509"/>
      <c r="D31" s="1509"/>
      <c r="E31" s="1509"/>
      <c r="F31" s="1509"/>
      <c r="G31" s="1509"/>
      <c r="H31" s="1509"/>
      <c r="I31" s="1509"/>
      <c r="J31" s="1509"/>
      <c r="K31" s="1509"/>
      <c r="L31" s="1509"/>
      <c r="M31" s="1509"/>
      <c r="N31" s="1509"/>
      <c r="O31" s="1509"/>
      <c r="P31" s="1509"/>
      <c r="Q31" s="1509"/>
      <c r="R31" s="1509"/>
      <c r="S31" s="1509"/>
      <c r="T31" s="1510"/>
      <c r="U31" s="1511">
        <f>U30-U29</f>
        <v>-5729</v>
      </c>
      <c r="V31" s="1512"/>
      <c r="W31" s="1512"/>
      <c r="X31" s="1513"/>
      <c r="Y31" s="1513"/>
      <c r="Z31" s="1513"/>
      <c r="AA31" s="1514"/>
      <c r="AB31" s="908"/>
    </row>
    <row r="32" spans="2:28" s="907" customFormat="1" ht="12.75" customHeight="1" thickBot="1">
      <c r="B32" s="1508"/>
      <c r="C32" s="1532"/>
      <c r="D32" s="1532"/>
      <c r="E32" s="1532"/>
      <c r="F32" s="1532"/>
      <c r="G32" s="1532"/>
      <c r="H32" s="1532"/>
      <c r="I32" s="1532"/>
      <c r="J32" s="1532"/>
      <c r="K32" s="1532"/>
      <c r="L32" s="1532"/>
      <c r="M32" s="1532"/>
      <c r="N32" s="1532"/>
      <c r="O32" s="1532"/>
      <c r="P32" s="1532"/>
      <c r="Q32" s="1532"/>
      <c r="R32" s="1532"/>
      <c r="S32" s="1532"/>
      <c r="T32" s="1532"/>
      <c r="U32" s="1532"/>
      <c r="V32" s="1532"/>
      <c r="W32" s="1532"/>
      <c r="X32" s="1532"/>
      <c r="Y32" s="1532"/>
      <c r="Z32" s="1532"/>
      <c r="AA32" s="1533"/>
      <c r="AB32" s="910"/>
    </row>
    <row r="33" spans="2:28" s="907" customFormat="1" ht="30" customHeight="1" thickBot="1">
      <c r="B33" s="1060" t="s">
        <v>391</v>
      </c>
      <c r="C33" s="1530"/>
      <c r="D33" s="1530"/>
      <c r="E33" s="1530"/>
      <c r="F33" s="1530"/>
      <c r="G33" s="1530"/>
      <c r="H33" s="1530"/>
      <c r="I33" s="1530"/>
      <c r="J33" s="1530"/>
      <c r="K33" s="1530"/>
      <c r="L33" s="1530"/>
      <c r="M33" s="1530"/>
      <c r="N33" s="1530"/>
      <c r="O33" s="1530"/>
      <c r="P33" s="1530"/>
      <c r="Q33" s="1530"/>
      <c r="R33" s="1530"/>
      <c r="S33" s="1530"/>
      <c r="T33" s="1530"/>
      <c r="U33" s="1530"/>
      <c r="V33" s="1530"/>
      <c r="W33" s="1530"/>
      <c r="X33" s="1530"/>
      <c r="Y33" s="1530"/>
      <c r="Z33" s="1530"/>
      <c r="AA33" s="1531"/>
      <c r="AB33" s="910"/>
    </row>
    <row r="34" spans="2:28" s="907" customFormat="1" ht="30" customHeight="1" thickBot="1">
      <c r="B34" s="1505" t="s">
        <v>392</v>
      </c>
      <c r="C34" s="1506"/>
      <c r="D34" s="1506"/>
      <c r="E34" s="1506"/>
      <c r="F34" s="1506"/>
      <c r="G34" s="1506"/>
      <c r="H34" s="1506"/>
      <c r="I34" s="1506"/>
      <c r="J34" s="1506"/>
      <c r="K34" s="1506"/>
      <c r="L34" s="1506"/>
      <c r="M34" s="1506"/>
      <c r="N34" s="1506"/>
      <c r="O34" s="1506"/>
      <c r="P34" s="1506"/>
      <c r="Q34" s="1506"/>
      <c r="R34" s="1506"/>
      <c r="S34" s="1506"/>
      <c r="T34" s="1507"/>
      <c r="U34" s="1515">
        <f>'RACE '!Q84</f>
        <v>16.13</v>
      </c>
      <c r="V34" s="1516"/>
      <c r="W34" s="1516"/>
      <c r="X34" s="1517"/>
      <c r="Y34" s="1517"/>
      <c r="Z34" s="1517"/>
      <c r="AA34" s="1518"/>
      <c r="AB34" s="910"/>
    </row>
    <row r="35" spans="2:28" s="907" customFormat="1" ht="30" customHeight="1" thickBot="1">
      <c r="B35" s="1508" t="s">
        <v>393</v>
      </c>
      <c r="C35" s="1509"/>
      <c r="D35" s="1509"/>
      <c r="E35" s="1509"/>
      <c r="F35" s="1509"/>
      <c r="G35" s="1509"/>
      <c r="H35" s="1509"/>
      <c r="I35" s="1509"/>
      <c r="J35" s="1509"/>
      <c r="K35" s="1509"/>
      <c r="L35" s="1509"/>
      <c r="M35" s="1509"/>
      <c r="N35" s="1509"/>
      <c r="O35" s="1509"/>
      <c r="P35" s="1509"/>
      <c r="Q35" s="1509"/>
      <c r="R35" s="1509"/>
      <c r="S35" s="1509"/>
      <c r="T35" s="1510"/>
      <c r="U35" s="1515">
        <f>'RACE '!Q85</f>
        <v>10.1</v>
      </c>
      <c r="V35" s="1516"/>
      <c r="W35" s="1516"/>
      <c r="X35" s="1517"/>
      <c r="Y35" s="1517"/>
      <c r="Z35" s="1517"/>
      <c r="AA35" s="1518"/>
      <c r="AB35" s="910"/>
    </row>
    <row r="36" spans="2:28" s="907" customFormat="1" ht="30" customHeight="1" thickBot="1">
      <c r="B36" s="1508" t="s">
        <v>396</v>
      </c>
      <c r="C36" s="1509"/>
      <c r="D36" s="1509"/>
      <c r="E36" s="1509"/>
      <c r="F36" s="1509"/>
      <c r="G36" s="1509"/>
      <c r="H36" s="1509"/>
      <c r="I36" s="1509"/>
      <c r="J36" s="1509"/>
      <c r="K36" s="1509"/>
      <c r="L36" s="1509"/>
      <c r="M36" s="1509"/>
      <c r="N36" s="1509"/>
      <c r="O36" s="1509"/>
      <c r="P36" s="1509"/>
      <c r="Q36" s="1509"/>
      <c r="R36" s="1509"/>
      <c r="S36" s="1509"/>
      <c r="T36" s="1510"/>
      <c r="U36" s="1519">
        <f>'RACE '!AJ84</f>
        <v>0.7383777119236068</v>
      </c>
      <c r="V36" s="1520"/>
      <c r="W36" s="1520"/>
      <c r="X36" s="1521"/>
      <c r="Y36" s="1521"/>
      <c r="Z36" s="1521"/>
      <c r="AA36" s="1522"/>
      <c r="AB36" s="910"/>
    </row>
    <row r="37" spans="2:28" s="907" customFormat="1" ht="30" customHeight="1" thickBot="1">
      <c r="B37" s="1508" t="s">
        <v>397</v>
      </c>
      <c r="C37" s="1509"/>
      <c r="D37" s="1509"/>
      <c r="E37" s="1509"/>
      <c r="F37" s="1509"/>
      <c r="G37" s="1509"/>
      <c r="H37" s="1509"/>
      <c r="I37" s="1509"/>
      <c r="J37" s="1509"/>
      <c r="K37" s="1509"/>
      <c r="L37" s="1509"/>
      <c r="M37" s="1509"/>
      <c r="N37" s="1509"/>
      <c r="O37" s="1509"/>
      <c r="P37" s="1509"/>
      <c r="Q37" s="1509"/>
      <c r="R37" s="1509"/>
      <c r="S37" s="1509"/>
      <c r="T37" s="1510"/>
      <c r="U37" s="1526">
        <f>'RACE '!AJ83/100</f>
        <v>0</v>
      </c>
      <c r="V37" s="1527"/>
      <c r="W37" s="1527"/>
      <c r="X37" s="1528"/>
      <c r="Y37" s="1528"/>
      <c r="Z37" s="1528"/>
      <c r="AA37" s="1529"/>
      <c r="AB37" s="910"/>
    </row>
    <row r="38" spans="2:28" s="907" customFormat="1" ht="30" customHeight="1" thickBot="1">
      <c r="B38" s="1508" t="s">
        <v>398</v>
      </c>
      <c r="C38" s="1509"/>
      <c r="D38" s="1509"/>
      <c r="E38" s="1509"/>
      <c r="F38" s="1509"/>
      <c r="G38" s="1509"/>
      <c r="H38" s="1509"/>
      <c r="I38" s="1509"/>
      <c r="J38" s="1509"/>
      <c r="K38" s="1509"/>
      <c r="L38" s="1509"/>
      <c r="M38" s="1509"/>
      <c r="N38" s="1509"/>
      <c r="O38" s="1509"/>
      <c r="P38" s="1509"/>
      <c r="Q38" s="1509"/>
      <c r="R38" s="1509"/>
      <c r="S38" s="1509"/>
      <c r="T38" s="1510"/>
      <c r="U38" s="1526">
        <f>'RACE '!AJ85/100</f>
        <v>0</v>
      </c>
      <c r="V38" s="1527"/>
      <c r="W38" s="1527"/>
      <c r="X38" s="1528"/>
      <c r="Y38" s="1528"/>
      <c r="Z38" s="1528"/>
      <c r="AA38" s="1529"/>
      <c r="AB38" s="910"/>
    </row>
    <row r="39" spans="2:28" s="907" customFormat="1" ht="15.75">
      <c r="B39" s="911"/>
      <c r="C39" s="911"/>
      <c r="D39" s="911"/>
      <c r="E39" s="911"/>
      <c r="F39" s="911"/>
      <c r="G39" s="911"/>
      <c r="H39" s="911"/>
      <c r="I39" s="911"/>
      <c r="J39" s="911"/>
      <c r="K39" s="911"/>
      <c r="L39" s="911"/>
      <c r="M39" s="911"/>
      <c r="N39" s="911"/>
      <c r="O39" s="911"/>
      <c r="P39" s="911"/>
      <c r="Q39" s="911"/>
      <c r="R39" s="911"/>
      <c r="S39" s="911"/>
      <c r="T39" s="911"/>
      <c r="U39" s="912"/>
      <c r="V39" s="913"/>
      <c r="W39" s="913"/>
      <c r="X39" s="845"/>
      <c r="Y39" s="845"/>
      <c r="Z39" s="845"/>
      <c r="AA39" s="845"/>
      <c r="AB39" s="910"/>
    </row>
    <row r="40" spans="2:28" s="907" customFormat="1" ht="15.75">
      <c r="B40" s="911"/>
      <c r="C40" s="911"/>
      <c r="D40" s="911"/>
      <c r="E40" s="911"/>
      <c r="F40" s="911"/>
      <c r="G40" s="911"/>
      <c r="H40" s="911"/>
      <c r="I40" s="911"/>
      <c r="J40" s="911"/>
      <c r="K40" s="911"/>
      <c r="L40" s="911"/>
      <c r="M40" s="911"/>
      <c r="N40" s="911"/>
      <c r="O40" s="911"/>
      <c r="P40" s="911"/>
      <c r="Q40" s="911"/>
      <c r="R40" s="911"/>
      <c r="S40" s="911"/>
      <c r="T40" s="911"/>
      <c r="U40" s="912"/>
      <c r="V40" s="913"/>
      <c r="W40" s="913"/>
      <c r="X40" s="845"/>
      <c r="Y40" s="845"/>
      <c r="Z40" s="845"/>
      <c r="AA40" s="845"/>
      <c r="AB40" s="910"/>
    </row>
    <row r="41" spans="2:28" s="907" customFormat="1" ht="15.75">
      <c r="B41" s="911"/>
      <c r="C41" s="911"/>
      <c r="D41" s="911"/>
      <c r="E41" s="911"/>
      <c r="F41" s="911"/>
      <c r="G41" s="911"/>
      <c r="H41" s="911"/>
      <c r="I41" s="911"/>
      <c r="J41" s="911"/>
      <c r="K41" s="911"/>
      <c r="L41" s="911"/>
      <c r="M41" s="911"/>
      <c r="N41" s="911"/>
      <c r="O41" s="911"/>
      <c r="P41" s="911"/>
      <c r="Q41" s="911"/>
      <c r="R41" s="911"/>
      <c r="S41" s="911"/>
      <c r="T41" s="911"/>
      <c r="U41" s="912"/>
      <c r="V41" s="913"/>
      <c r="W41" s="913"/>
      <c r="X41" s="845"/>
      <c r="Y41" s="845"/>
      <c r="Z41" s="845"/>
      <c r="AA41" s="845"/>
      <c r="AB41" s="910"/>
    </row>
    <row r="42" spans="2:28" s="907" customFormat="1" ht="15.75">
      <c r="B42" s="816"/>
      <c r="C42" s="914"/>
      <c r="D42" s="915"/>
      <c r="E42" s="915"/>
      <c r="F42" s="916"/>
      <c r="G42" s="917"/>
      <c r="H42" s="918"/>
      <c r="I42" s="918"/>
      <c r="J42" s="918"/>
      <c r="K42" s="918"/>
      <c r="L42" s="919"/>
      <c r="M42" s="919"/>
      <c r="N42" s="919"/>
      <c r="O42" s="919"/>
      <c r="P42" s="919"/>
      <c r="Q42" s="919"/>
      <c r="R42" s="919"/>
      <c r="S42" s="919"/>
      <c r="T42" s="916"/>
      <c r="U42" s="821"/>
      <c r="V42" s="821"/>
      <c r="W42" s="821"/>
      <c r="X42" s="821"/>
      <c r="Y42" s="815"/>
      <c r="Z42" s="815"/>
      <c r="AA42" s="815"/>
      <c r="AB42" s="910"/>
    </row>
    <row r="43" spans="2:28" s="907" customFormat="1" ht="15.75">
      <c r="B43" s="816"/>
      <c r="C43" s="920"/>
      <c r="D43" s="918"/>
      <c r="E43" s="918"/>
      <c r="F43" s="916"/>
      <c r="G43" s="917"/>
      <c r="H43" s="918"/>
      <c r="I43" s="918"/>
      <c r="J43" s="918"/>
      <c r="K43" s="918"/>
      <c r="L43" s="921"/>
      <c r="M43" s="921"/>
      <c r="N43" s="921"/>
      <c r="O43" s="921"/>
      <c r="P43" s="921"/>
      <c r="Q43" s="921"/>
      <c r="R43" s="921"/>
      <c r="S43" s="921"/>
      <c r="T43" s="916"/>
      <c r="U43" s="764"/>
      <c r="V43" s="764"/>
      <c r="W43" s="764"/>
      <c r="X43" s="764"/>
      <c r="Y43" s="764"/>
      <c r="Z43" s="922"/>
      <c r="AA43" s="922"/>
      <c r="AB43" s="910"/>
    </row>
    <row r="44" spans="2:28" s="907" customFormat="1" ht="12.75">
      <c r="B44" s="923"/>
      <c r="C44" s="815"/>
      <c r="D44" s="815"/>
      <c r="E44" s="815"/>
      <c r="F44" s="816"/>
      <c r="G44" s="822"/>
      <c r="H44" s="918"/>
      <c r="I44" s="918"/>
      <c r="J44" s="918"/>
      <c r="K44" s="918"/>
      <c r="L44" s="918"/>
      <c r="M44" s="918"/>
      <c r="N44" s="918"/>
      <c r="O44" s="918"/>
      <c r="P44" s="918"/>
      <c r="Q44" s="918"/>
      <c r="R44" s="918"/>
      <c r="S44" s="918"/>
      <c r="T44" s="918"/>
      <c r="U44" s="918"/>
      <c r="V44" s="918"/>
      <c r="W44" s="918"/>
      <c r="X44" s="918"/>
      <c r="Y44" s="918"/>
      <c r="Z44" s="918"/>
      <c r="AA44" s="918"/>
      <c r="AB44" s="910"/>
    </row>
    <row r="45" spans="2:28" s="907" customFormat="1" ht="12.75" customHeight="1">
      <c r="B45" s="827"/>
      <c r="C45" s="823"/>
      <c r="D45" s="918"/>
      <c r="E45" s="918"/>
      <c r="F45" s="918"/>
      <c r="G45" s="924"/>
      <c r="H45" s="924"/>
      <c r="I45" s="916"/>
      <c r="J45" s="816"/>
      <c r="K45" s="925"/>
      <c r="L45" s="916"/>
      <c r="M45" s="916"/>
      <c r="N45" s="916"/>
      <c r="O45" s="916"/>
      <c r="P45" s="916"/>
      <c r="Q45" s="916"/>
      <c r="R45" s="916"/>
      <c r="S45" s="916"/>
      <c r="T45" s="916"/>
      <c r="U45" s="916"/>
      <c r="V45" s="916"/>
      <c r="W45" s="816"/>
      <c r="X45" s="824"/>
      <c r="Y45" s="926"/>
      <c r="Z45" s="926"/>
      <c r="AA45" s="926"/>
      <c r="AB45" s="910"/>
    </row>
    <row r="46" spans="2:28" s="907" customFormat="1" ht="18">
      <c r="B46" s="827"/>
      <c r="C46" s="823"/>
      <c r="D46" s="918"/>
      <c r="E46" s="918"/>
      <c r="F46" s="918"/>
      <c r="G46" s="924"/>
      <c r="H46" s="924"/>
      <c r="I46" s="916"/>
      <c r="J46" s="927"/>
      <c r="K46" s="925"/>
      <c r="L46" s="916"/>
      <c r="M46" s="916"/>
      <c r="N46" s="916"/>
      <c r="O46" s="916"/>
      <c r="P46" s="916"/>
      <c r="Q46" s="916"/>
      <c r="R46" s="916"/>
      <c r="S46" s="916"/>
      <c r="T46" s="916"/>
      <c r="U46" s="916"/>
      <c r="V46" s="916"/>
      <c r="W46" s="918"/>
      <c r="X46" s="926"/>
      <c r="Y46" s="926"/>
      <c r="Z46" s="926"/>
      <c r="AA46" s="926"/>
      <c r="AB46" s="910"/>
    </row>
    <row r="47" spans="2:28" s="907" customFormat="1" ht="12.75">
      <c r="B47" s="928"/>
      <c r="C47" s="815"/>
      <c r="D47" s="918"/>
      <c r="E47" s="918"/>
      <c r="F47" s="918"/>
      <c r="G47" s="825"/>
      <c r="H47" s="929"/>
      <c r="I47" s="929"/>
      <c r="J47" s="929"/>
      <c r="K47" s="929"/>
      <c r="L47" s="929"/>
      <c r="M47" s="929"/>
      <c r="N47" s="929"/>
      <c r="O47" s="929"/>
      <c r="P47" s="929"/>
      <c r="Q47" s="929"/>
      <c r="R47" s="929"/>
      <c r="S47" s="929"/>
      <c r="T47" s="929"/>
      <c r="U47" s="929"/>
      <c r="V47" s="929"/>
      <c r="W47" s="929"/>
      <c r="X47" s="824"/>
      <c r="Y47" s="926"/>
      <c r="Z47" s="926"/>
      <c r="AA47" s="926"/>
      <c r="AB47" s="910"/>
    </row>
    <row r="48" spans="2:28" s="907" customFormat="1" ht="12.75">
      <c r="B48" s="930"/>
      <c r="C48" s="817"/>
      <c r="D48" s="815"/>
      <c r="E48" s="815"/>
      <c r="F48" s="816"/>
      <c r="G48" s="924"/>
      <c r="H48" s="924"/>
      <c r="I48" s="931"/>
      <c r="J48" s="931"/>
      <c r="K48" s="931"/>
      <c r="L48" s="826"/>
      <c r="M48" s="826"/>
      <c r="N48" s="826"/>
      <c r="O48" s="826"/>
      <c r="P48" s="826"/>
      <c r="Q48" s="826"/>
      <c r="R48" s="826"/>
      <c r="S48" s="826"/>
      <c r="T48" s="932"/>
      <c r="U48" s="932"/>
      <c r="V48" s="932"/>
      <c r="W48" s="932"/>
      <c r="X48" s="824"/>
      <c r="Y48" s="824"/>
      <c r="Z48" s="824"/>
      <c r="AA48" s="824"/>
      <c r="AB48" s="910"/>
    </row>
    <row r="49" spans="2:28" s="907" customFormat="1" ht="12.75">
      <c r="B49" s="817"/>
      <c r="C49" s="925"/>
      <c r="D49" s="925"/>
      <c r="E49" s="925"/>
      <c r="F49" s="916"/>
      <c r="G49" s="815"/>
      <c r="H49" s="933"/>
      <c r="I49" s="933"/>
      <c r="J49" s="933"/>
      <c r="K49" s="933"/>
      <c r="L49" s="933"/>
      <c r="M49" s="933"/>
      <c r="N49" s="933"/>
      <c r="O49" s="933"/>
      <c r="P49" s="933"/>
      <c r="Q49" s="933"/>
      <c r="R49" s="933"/>
      <c r="S49" s="933"/>
      <c r="T49" s="918"/>
      <c r="U49" s="918"/>
      <c r="V49" s="918"/>
      <c r="W49" s="918"/>
      <c r="X49" s="824"/>
      <c r="Y49" s="824"/>
      <c r="Z49" s="824"/>
      <c r="AA49" s="824"/>
      <c r="AB49" s="910"/>
    </row>
    <row r="50" spans="2:28" s="907" customFormat="1" ht="12.75">
      <c r="B50" s="817"/>
      <c r="C50" s="820"/>
      <c r="D50" s="820"/>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910"/>
    </row>
    <row r="51" spans="2:28" s="907" customFormat="1" ht="12.75">
      <c r="B51" s="817"/>
      <c r="C51" s="923"/>
      <c r="D51" s="923"/>
      <c r="E51" s="923"/>
      <c r="F51" s="934"/>
      <c r="G51" s="934"/>
      <c r="H51" s="934"/>
      <c r="I51" s="934"/>
      <c r="J51" s="934"/>
      <c r="K51" s="934"/>
      <c r="L51" s="934"/>
      <c r="M51" s="934"/>
      <c r="N51" s="934"/>
      <c r="O51" s="934"/>
      <c r="P51" s="934"/>
      <c r="Q51" s="934"/>
      <c r="R51" s="934"/>
      <c r="S51" s="934"/>
      <c r="T51" s="934"/>
      <c r="U51" s="934"/>
      <c r="V51" s="934"/>
      <c r="W51" s="934"/>
      <c r="X51" s="934"/>
      <c r="Y51" s="934"/>
      <c r="Z51" s="934"/>
      <c r="AA51" s="934"/>
      <c r="AB51" s="910"/>
    </row>
    <row r="52" spans="2:28" s="907" customFormat="1" ht="12.75">
      <c r="B52" s="817"/>
      <c r="C52" s="923"/>
      <c r="D52" s="923"/>
      <c r="E52" s="923"/>
      <c r="F52" s="934"/>
      <c r="G52" s="934"/>
      <c r="H52" s="934"/>
      <c r="I52" s="934"/>
      <c r="J52" s="934"/>
      <c r="K52" s="934"/>
      <c r="L52" s="934"/>
      <c r="M52" s="934"/>
      <c r="N52" s="934"/>
      <c r="O52" s="934"/>
      <c r="P52" s="934"/>
      <c r="Q52" s="934"/>
      <c r="R52" s="934"/>
      <c r="S52" s="934"/>
      <c r="T52" s="934"/>
      <c r="U52" s="934"/>
      <c r="V52" s="934"/>
      <c r="W52" s="934"/>
      <c r="X52" s="934"/>
      <c r="Y52" s="934"/>
      <c r="Z52" s="934"/>
      <c r="AA52" s="934"/>
      <c r="AB52" s="910"/>
    </row>
    <row r="53" spans="2:28" s="907" customFormat="1" ht="12.75">
      <c r="B53" s="817"/>
      <c r="C53" s="923"/>
      <c r="D53" s="923"/>
      <c r="E53" s="923"/>
      <c r="F53" s="934"/>
      <c r="G53" s="934"/>
      <c r="H53" s="934"/>
      <c r="I53" s="934"/>
      <c r="J53" s="934"/>
      <c r="K53" s="934"/>
      <c r="L53" s="934"/>
      <c r="M53" s="934"/>
      <c r="N53" s="934"/>
      <c r="O53" s="934"/>
      <c r="P53" s="934"/>
      <c r="Q53" s="934"/>
      <c r="R53" s="934"/>
      <c r="S53" s="934"/>
      <c r="T53" s="934"/>
      <c r="U53" s="934"/>
      <c r="V53" s="934"/>
      <c r="W53" s="934"/>
      <c r="X53" s="934"/>
      <c r="Y53" s="934"/>
      <c r="Z53" s="934"/>
      <c r="AA53" s="934"/>
      <c r="AB53" s="910"/>
    </row>
    <row r="54" spans="2:28" ht="12.75">
      <c r="B54" s="817"/>
      <c r="C54" s="923"/>
      <c r="D54" s="923"/>
      <c r="E54" s="923"/>
      <c r="F54" s="934"/>
      <c r="G54" s="934"/>
      <c r="H54" s="934"/>
      <c r="I54" s="934"/>
      <c r="J54" s="934"/>
      <c r="K54" s="934"/>
      <c r="L54" s="934"/>
      <c r="M54" s="934"/>
      <c r="N54" s="934"/>
      <c r="O54" s="934"/>
      <c r="P54" s="934"/>
      <c r="Q54" s="934"/>
      <c r="R54" s="934"/>
      <c r="S54" s="934"/>
      <c r="T54" s="934"/>
      <c r="U54" s="934"/>
      <c r="V54" s="934"/>
      <c r="W54" s="934"/>
      <c r="X54" s="934"/>
      <c r="Y54" s="934"/>
      <c r="Z54" s="934"/>
      <c r="AA54" s="934"/>
      <c r="AB54" s="935"/>
    </row>
    <row r="55" spans="2:28" ht="12.75">
      <c r="B55" s="817"/>
      <c r="C55" s="923"/>
      <c r="D55" s="923"/>
      <c r="E55" s="923"/>
      <c r="F55" s="934"/>
      <c r="G55" s="934"/>
      <c r="H55" s="934"/>
      <c r="I55" s="934"/>
      <c r="J55" s="934"/>
      <c r="K55" s="934"/>
      <c r="L55" s="934"/>
      <c r="M55" s="934"/>
      <c r="N55" s="934"/>
      <c r="O55" s="934"/>
      <c r="P55" s="934"/>
      <c r="Q55" s="934"/>
      <c r="R55" s="934"/>
      <c r="S55" s="934"/>
      <c r="T55" s="934"/>
      <c r="U55" s="934"/>
      <c r="V55" s="934"/>
      <c r="W55" s="934"/>
      <c r="X55" s="934"/>
      <c r="Y55" s="934"/>
      <c r="Z55" s="934"/>
      <c r="AA55" s="934"/>
      <c r="AB55" s="935"/>
    </row>
    <row r="56" spans="2:28" ht="12.75">
      <c r="B56" s="817"/>
      <c r="C56" s="923"/>
      <c r="D56" s="923"/>
      <c r="E56" s="923"/>
      <c r="F56" s="934"/>
      <c r="G56" s="934"/>
      <c r="H56" s="934"/>
      <c r="I56" s="934"/>
      <c r="J56" s="934"/>
      <c r="K56" s="934"/>
      <c r="L56" s="934"/>
      <c r="M56" s="934"/>
      <c r="N56" s="934"/>
      <c r="O56" s="934"/>
      <c r="P56" s="934"/>
      <c r="Q56" s="934"/>
      <c r="R56" s="934"/>
      <c r="S56" s="934"/>
      <c r="T56" s="934"/>
      <c r="U56" s="934"/>
      <c r="V56" s="934"/>
      <c r="W56" s="934"/>
      <c r="X56" s="934"/>
      <c r="Y56" s="934"/>
      <c r="Z56" s="934"/>
      <c r="AA56" s="934"/>
      <c r="AB56" s="935"/>
    </row>
    <row r="57" spans="2:28" ht="12.75">
      <c r="B57" s="817"/>
      <c r="C57" s="923"/>
      <c r="D57" s="923"/>
      <c r="E57" s="923"/>
      <c r="F57" s="934"/>
      <c r="G57" s="934"/>
      <c r="H57" s="934"/>
      <c r="I57" s="934"/>
      <c r="J57" s="934"/>
      <c r="K57" s="934"/>
      <c r="L57" s="934"/>
      <c r="M57" s="934"/>
      <c r="N57" s="934"/>
      <c r="O57" s="934"/>
      <c r="P57" s="934"/>
      <c r="Q57" s="934"/>
      <c r="R57" s="934"/>
      <c r="S57" s="934"/>
      <c r="T57" s="934"/>
      <c r="U57" s="934"/>
      <c r="V57" s="934"/>
      <c r="W57" s="934"/>
      <c r="X57" s="934"/>
      <c r="Y57" s="934"/>
      <c r="Z57" s="934"/>
      <c r="AA57" s="934"/>
      <c r="AB57" s="935"/>
    </row>
    <row r="58" spans="2:28" ht="12.75">
      <c r="B58" s="817"/>
      <c r="C58" s="923"/>
      <c r="D58" s="923"/>
      <c r="E58" s="923"/>
      <c r="F58" s="934"/>
      <c r="G58" s="934"/>
      <c r="H58" s="934"/>
      <c r="I58" s="934"/>
      <c r="J58" s="934"/>
      <c r="K58" s="934"/>
      <c r="L58" s="934"/>
      <c r="M58" s="934"/>
      <c r="N58" s="934"/>
      <c r="O58" s="934"/>
      <c r="P58" s="934"/>
      <c r="Q58" s="934"/>
      <c r="R58" s="934"/>
      <c r="S58" s="934"/>
      <c r="T58" s="934"/>
      <c r="U58" s="934"/>
      <c r="V58" s="934"/>
      <c r="W58" s="934"/>
      <c r="X58" s="934"/>
      <c r="Y58" s="934"/>
      <c r="Z58" s="934"/>
      <c r="AA58" s="934"/>
      <c r="AB58" s="935"/>
    </row>
    <row r="59" spans="2:28" ht="12.75">
      <c r="B59" s="817"/>
      <c r="C59" s="923"/>
      <c r="D59" s="934"/>
      <c r="E59" s="934"/>
      <c r="F59" s="934"/>
      <c r="G59" s="934"/>
      <c r="H59" s="934"/>
      <c r="I59" s="934"/>
      <c r="J59" s="934"/>
      <c r="K59" s="934"/>
      <c r="L59" s="934"/>
      <c r="M59" s="934"/>
      <c r="N59" s="934"/>
      <c r="O59" s="934"/>
      <c r="P59" s="934"/>
      <c r="Q59" s="934"/>
      <c r="R59" s="934"/>
      <c r="S59" s="934"/>
      <c r="T59" s="934"/>
      <c r="U59" s="934"/>
      <c r="V59" s="934"/>
      <c r="W59" s="934"/>
      <c r="X59" s="934"/>
      <c r="Y59" s="934"/>
      <c r="Z59" s="934"/>
      <c r="AA59" s="934"/>
      <c r="AB59" s="935"/>
    </row>
    <row r="60" spans="2:28" ht="12.75">
      <c r="B60" s="817"/>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35"/>
    </row>
    <row r="61" spans="2:28" ht="12.75">
      <c r="B61" s="899"/>
      <c r="C61" s="923"/>
      <c r="D61" s="934"/>
      <c r="E61" s="934"/>
      <c r="F61" s="934"/>
      <c r="G61" s="934"/>
      <c r="H61" s="934"/>
      <c r="I61" s="934"/>
      <c r="J61" s="934"/>
      <c r="K61" s="934"/>
      <c r="L61" s="934"/>
      <c r="M61" s="934"/>
      <c r="N61" s="934"/>
      <c r="O61" s="934"/>
      <c r="P61" s="934"/>
      <c r="Q61" s="934"/>
      <c r="R61" s="934"/>
      <c r="S61" s="934"/>
      <c r="T61" s="934"/>
      <c r="U61" s="934"/>
      <c r="V61" s="934"/>
      <c r="W61" s="934"/>
      <c r="X61" s="934"/>
      <c r="Y61" s="934"/>
      <c r="Z61" s="934"/>
      <c r="AA61" s="934"/>
      <c r="AB61" s="935"/>
    </row>
    <row r="62" spans="2:28" ht="12.75">
      <c r="B62" s="899"/>
      <c r="C62" s="814"/>
      <c r="D62" s="899"/>
      <c r="E62" s="899"/>
      <c r="F62" s="899"/>
      <c r="G62" s="899"/>
      <c r="H62" s="899"/>
      <c r="I62" s="899"/>
      <c r="J62" s="899"/>
      <c r="K62" s="899"/>
      <c r="L62" s="899"/>
      <c r="M62" s="899"/>
      <c r="N62" s="899"/>
      <c r="O62" s="899"/>
      <c r="P62" s="899"/>
      <c r="Q62" s="899"/>
      <c r="R62" s="899"/>
      <c r="S62" s="899"/>
      <c r="T62" s="899"/>
      <c r="U62" s="814"/>
      <c r="V62" s="899"/>
      <c r="W62" s="814"/>
      <c r="X62" s="814"/>
      <c r="Y62" s="814"/>
      <c r="Z62" s="814"/>
      <c r="AA62" s="814"/>
      <c r="AB62" s="935"/>
    </row>
    <row r="63" spans="2:28" ht="12.75">
      <c r="B63" s="923"/>
      <c r="C63" s="899"/>
      <c r="D63" s="899"/>
      <c r="E63" s="899"/>
      <c r="F63" s="899"/>
      <c r="G63" s="899"/>
      <c r="H63" s="899"/>
      <c r="I63" s="899"/>
      <c r="J63" s="899"/>
      <c r="K63" s="899"/>
      <c r="L63" s="899"/>
      <c r="M63" s="899"/>
      <c r="N63" s="899"/>
      <c r="O63" s="899"/>
      <c r="P63" s="899"/>
      <c r="Q63" s="899"/>
      <c r="R63" s="899"/>
      <c r="S63" s="899"/>
      <c r="T63" s="899"/>
      <c r="U63" s="814"/>
      <c r="V63" s="814"/>
      <c r="W63" s="899"/>
      <c r="X63" s="814"/>
      <c r="Y63" s="814"/>
      <c r="Z63" s="814"/>
      <c r="AA63" s="814"/>
      <c r="AB63" s="935"/>
    </row>
    <row r="64" spans="2:28" ht="12.75">
      <c r="B64" s="814"/>
      <c r="C64" s="814"/>
      <c r="D64" s="814"/>
      <c r="E64" s="814"/>
      <c r="F64" s="814"/>
      <c r="G64" s="814"/>
      <c r="H64" s="814"/>
      <c r="I64" s="814"/>
      <c r="J64" s="814"/>
      <c r="K64" s="814"/>
      <c r="L64" s="814"/>
      <c r="M64" s="814"/>
      <c r="N64" s="814"/>
      <c r="O64" s="814"/>
      <c r="P64" s="814"/>
      <c r="Q64" s="814"/>
      <c r="R64" s="814"/>
      <c r="S64" s="814"/>
      <c r="T64" s="814"/>
      <c r="U64" s="814"/>
      <c r="V64" s="814"/>
      <c r="W64" s="814"/>
      <c r="X64" s="814"/>
      <c r="Y64" s="814"/>
      <c r="Z64" s="814"/>
      <c r="AA64" s="814"/>
      <c r="AB64" s="935"/>
    </row>
    <row r="65" spans="2:28" ht="12.75">
      <c r="B65" s="814"/>
      <c r="C65" s="1502"/>
      <c r="D65" s="1503"/>
      <c r="E65" s="1503"/>
      <c r="F65" s="1503"/>
      <c r="G65" s="1503"/>
      <c r="H65" s="1503"/>
      <c r="I65" s="1503"/>
      <c r="J65" s="1503"/>
      <c r="K65" s="1503"/>
      <c r="L65" s="1503"/>
      <c r="M65" s="1503"/>
      <c r="N65" s="1503"/>
      <c r="O65" s="1503"/>
      <c r="P65" s="1503"/>
      <c r="Q65" s="1503"/>
      <c r="R65" s="1503"/>
      <c r="S65" s="1503"/>
      <c r="T65" s="1503"/>
      <c r="U65" s="1503"/>
      <c r="V65" s="1504"/>
      <c r="W65" s="1503"/>
      <c r="X65" s="1503"/>
      <c r="Y65" s="1503"/>
      <c r="Z65" s="1503"/>
      <c r="AA65" s="1503"/>
      <c r="AB65" s="935"/>
    </row>
    <row r="66" spans="2:28" ht="12.75">
      <c r="B66" s="813"/>
      <c r="C66" s="899"/>
      <c r="D66" s="899"/>
      <c r="E66" s="899"/>
      <c r="F66" s="899"/>
      <c r="G66" s="899"/>
      <c r="H66" s="899"/>
      <c r="I66" s="899"/>
      <c r="J66" s="899"/>
      <c r="K66" s="899"/>
      <c r="L66" s="899"/>
      <c r="M66" s="899"/>
      <c r="N66" s="899"/>
      <c r="O66" s="899"/>
      <c r="P66" s="899"/>
      <c r="Q66" s="899"/>
      <c r="R66" s="899"/>
      <c r="S66" s="899"/>
      <c r="T66" s="899"/>
      <c r="U66" s="899"/>
      <c r="V66" s="899"/>
      <c r="W66" s="899"/>
      <c r="X66" s="899"/>
      <c r="Y66" s="899"/>
      <c r="Z66" s="899"/>
      <c r="AA66" s="899"/>
      <c r="AB66" s="935"/>
    </row>
    <row r="67" spans="2:28" ht="12.75">
      <c r="B67" s="899"/>
      <c r="C67" s="899"/>
      <c r="D67" s="899"/>
      <c r="E67" s="899"/>
      <c r="F67" s="899"/>
      <c r="G67" s="899"/>
      <c r="H67" s="899"/>
      <c r="I67" s="899"/>
      <c r="J67" s="899"/>
      <c r="K67" s="899"/>
      <c r="L67" s="899"/>
      <c r="M67" s="899"/>
      <c r="N67" s="899"/>
      <c r="O67" s="899"/>
      <c r="P67" s="899"/>
      <c r="Q67" s="899"/>
      <c r="R67" s="899"/>
      <c r="S67" s="899"/>
      <c r="T67" s="899"/>
      <c r="U67" s="899"/>
      <c r="V67" s="899"/>
      <c r="W67" s="899"/>
      <c r="X67" s="899"/>
      <c r="Y67" s="899"/>
      <c r="Z67" s="899"/>
      <c r="AA67" s="899"/>
      <c r="AB67" s="935"/>
    </row>
    <row r="68" spans="2:28" ht="12.75">
      <c r="B68" s="899"/>
      <c r="C68" s="899"/>
      <c r="D68" s="899"/>
      <c r="E68" s="899"/>
      <c r="F68" s="899"/>
      <c r="G68" s="899"/>
      <c r="H68" s="899"/>
      <c r="I68" s="899"/>
      <c r="J68" s="899"/>
      <c r="K68" s="899"/>
      <c r="L68" s="899"/>
      <c r="M68" s="899"/>
      <c r="N68" s="899"/>
      <c r="O68" s="899"/>
      <c r="P68" s="899"/>
      <c r="Q68" s="899"/>
      <c r="R68" s="899"/>
      <c r="S68" s="899"/>
      <c r="T68" s="899"/>
      <c r="U68" s="899"/>
      <c r="V68" s="899"/>
      <c r="W68" s="899"/>
      <c r="X68" s="899"/>
      <c r="Y68" s="899"/>
      <c r="Z68" s="899"/>
      <c r="AA68" s="899"/>
      <c r="AB68" s="935"/>
    </row>
    <row r="69" spans="2:28" ht="12.75">
      <c r="B69" s="899"/>
      <c r="C69" s="899"/>
      <c r="D69" s="899"/>
      <c r="E69" s="899"/>
      <c r="F69" s="899"/>
      <c r="G69" s="899"/>
      <c r="H69" s="899"/>
      <c r="I69" s="899"/>
      <c r="J69" s="899"/>
      <c r="K69" s="899"/>
      <c r="L69" s="899"/>
      <c r="M69" s="899"/>
      <c r="N69" s="899"/>
      <c r="O69" s="899"/>
      <c r="P69" s="899"/>
      <c r="Q69" s="899"/>
      <c r="R69" s="899"/>
      <c r="S69" s="899"/>
      <c r="T69" s="899"/>
      <c r="U69" s="899"/>
      <c r="V69" s="899"/>
      <c r="W69" s="899"/>
      <c r="X69" s="899"/>
      <c r="Y69" s="899"/>
      <c r="Z69" s="899"/>
      <c r="AA69" s="899"/>
      <c r="AB69" s="935"/>
    </row>
    <row r="70" spans="2:28" ht="12.75">
      <c r="B70" s="936"/>
      <c r="C70" s="936"/>
      <c r="D70" s="936"/>
      <c r="E70" s="936"/>
      <c r="F70" s="936"/>
      <c r="G70" s="936"/>
      <c r="H70" s="936"/>
      <c r="I70" s="936"/>
      <c r="J70" s="936"/>
      <c r="K70" s="936"/>
      <c r="L70" s="936"/>
      <c r="M70" s="936"/>
      <c r="N70" s="936"/>
      <c r="O70" s="936"/>
      <c r="P70" s="936"/>
      <c r="Q70" s="936"/>
      <c r="R70" s="936"/>
      <c r="S70" s="936"/>
      <c r="T70" s="936"/>
      <c r="U70" s="936"/>
      <c r="V70" s="936"/>
      <c r="W70" s="936"/>
      <c r="X70" s="936"/>
      <c r="Y70" s="936"/>
      <c r="Z70" s="936"/>
      <c r="AA70" s="936"/>
      <c r="AB70" s="936"/>
    </row>
    <row r="71" spans="2:28" ht="12.75">
      <c r="B71" s="936"/>
      <c r="C71" s="936"/>
      <c r="D71" s="936"/>
      <c r="E71" s="936"/>
      <c r="F71" s="936"/>
      <c r="G71" s="936"/>
      <c r="H71" s="936"/>
      <c r="I71" s="936"/>
      <c r="J71" s="936"/>
      <c r="K71" s="936"/>
      <c r="L71" s="936"/>
      <c r="M71" s="936"/>
      <c r="N71" s="936"/>
      <c r="O71" s="936"/>
      <c r="P71" s="936"/>
      <c r="Q71" s="936"/>
      <c r="R71" s="936"/>
      <c r="S71" s="936"/>
      <c r="T71" s="936"/>
      <c r="U71" s="936"/>
      <c r="V71" s="936"/>
      <c r="W71" s="936"/>
      <c r="X71" s="936"/>
      <c r="Y71" s="936"/>
      <c r="Z71" s="936"/>
      <c r="AA71" s="936"/>
      <c r="AB71" s="936"/>
    </row>
  </sheetData>
  <sheetProtection/>
  <mergeCells count="118">
    <mergeCell ref="N10:S13"/>
    <mergeCell ref="U11:X11"/>
    <mergeCell ref="B10:E10"/>
    <mergeCell ref="B11:E11"/>
    <mergeCell ref="C15:E15"/>
    <mergeCell ref="G15:L15"/>
    <mergeCell ref="V13:X13"/>
    <mergeCell ref="U15:X15"/>
    <mergeCell ref="N15:S15"/>
    <mergeCell ref="B9:E9"/>
    <mergeCell ref="U14:X14"/>
    <mergeCell ref="G9:L9"/>
    <mergeCell ref="U9:AA9"/>
    <mergeCell ref="N9:S9"/>
    <mergeCell ref="Y10:AA14"/>
    <mergeCell ref="B12:E12"/>
    <mergeCell ref="N14:S14"/>
    <mergeCell ref="B14:B15"/>
    <mergeCell ref="Y15:Z15"/>
    <mergeCell ref="B8:AA8"/>
    <mergeCell ref="U10:X10"/>
    <mergeCell ref="C14:E14"/>
    <mergeCell ref="G10:L10"/>
    <mergeCell ref="G11:L11"/>
    <mergeCell ref="G12:L12"/>
    <mergeCell ref="V12:X12"/>
    <mergeCell ref="B13:E13"/>
    <mergeCell ref="G14:L14"/>
    <mergeCell ref="G13:L13"/>
    <mergeCell ref="C16:E16"/>
    <mergeCell ref="G16:L16"/>
    <mergeCell ref="U16:X16"/>
    <mergeCell ref="Y16:Z16"/>
    <mergeCell ref="N16:S16"/>
    <mergeCell ref="C17:E17"/>
    <mergeCell ref="U17:X17"/>
    <mergeCell ref="C18:E18"/>
    <mergeCell ref="G18:L18"/>
    <mergeCell ref="Y17:Z17"/>
    <mergeCell ref="N17:S17"/>
    <mergeCell ref="G17:L17"/>
    <mergeCell ref="Y20:Z20"/>
    <mergeCell ref="N20:S20"/>
    <mergeCell ref="C19:E19"/>
    <mergeCell ref="G19:L19"/>
    <mergeCell ref="U18:X18"/>
    <mergeCell ref="Y18:Z18"/>
    <mergeCell ref="N18:S18"/>
    <mergeCell ref="N19:S19"/>
    <mergeCell ref="U19:X19"/>
    <mergeCell ref="Y19:Z19"/>
    <mergeCell ref="N21:S21"/>
    <mergeCell ref="C23:E23"/>
    <mergeCell ref="U22:X22"/>
    <mergeCell ref="C20:E20"/>
    <mergeCell ref="G20:L20"/>
    <mergeCell ref="U20:X20"/>
    <mergeCell ref="C22:E22"/>
    <mergeCell ref="G22:L22"/>
    <mergeCell ref="C21:E21"/>
    <mergeCell ref="N22:S22"/>
    <mergeCell ref="B32:AA32"/>
    <mergeCell ref="G23:L23"/>
    <mergeCell ref="U23:X23"/>
    <mergeCell ref="Y23:Z23"/>
    <mergeCell ref="F24:F25"/>
    <mergeCell ref="G25:O25"/>
    <mergeCell ref="P24:S24"/>
    <mergeCell ref="P25:S25"/>
    <mergeCell ref="N23:S23"/>
    <mergeCell ref="U26:W26"/>
    <mergeCell ref="B28:AA28"/>
    <mergeCell ref="U37:AA37"/>
    <mergeCell ref="B38:T38"/>
    <mergeCell ref="U38:AA38"/>
    <mergeCell ref="B35:T35"/>
    <mergeCell ref="U35:AA35"/>
    <mergeCell ref="B36:T36"/>
    <mergeCell ref="B37:T37"/>
    <mergeCell ref="B33:AA33"/>
    <mergeCell ref="B34:T34"/>
    <mergeCell ref="C65:U65"/>
    <mergeCell ref="V65:AA65"/>
    <mergeCell ref="B29:T29"/>
    <mergeCell ref="B30:T30"/>
    <mergeCell ref="B31:T31"/>
    <mergeCell ref="U30:AA30"/>
    <mergeCell ref="U34:AA34"/>
    <mergeCell ref="U29:AA29"/>
    <mergeCell ref="U31:AA31"/>
    <mergeCell ref="U36:AA36"/>
    <mergeCell ref="Y22:Z22"/>
    <mergeCell ref="B4:AA4"/>
    <mergeCell ref="N6:Q6"/>
    <mergeCell ref="C25:E25"/>
    <mergeCell ref="U25:W25"/>
    <mergeCell ref="Y25:AA25"/>
    <mergeCell ref="Y24:Z24"/>
    <mergeCell ref="Y21:Z21"/>
    <mergeCell ref="G21:L21"/>
    <mergeCell ref="U21:X21"/>
    <mergeCell ref="B27:AA27"/>
    <mergeCell ref="G24:O24"/>
    <mergeCell ref="T24:T25"/>
    <mergeCell ref="C24:E24"/>
    <mergeCell ref="U24:X24"/>
    <mergeCell ref="Y26:AA26"/>
    <mergeCell ref="B26:E26"/>
    <mergeCell ref="G26:S26"/>
    <mergeCell ref="R6:AA6"/>
    <mergeCell ref="R7:AA7"/>
    <mergeCell ref="D6:M6"/>
    <mergeCell ref="B2:AA3"/>
    <mergeCell ref="B5:AA5"/>
    <mergeCell ref="B6:C6"/>
    <mergeCell ref="B7:C7"/>
    <mergeCell ref="D7:M7"/>
    <mergeCell ref="N7:Q7"/>
  </mergeCells>
  <printOptions/>
  <pageMargins left="0.7" right="0.7" top="0.75" bottom="0.75" header="0.3" footer="0.3"/>
  <pageSetup fitToHeight="1" fitToWidth="1" horizontalDpi="600" verticalDpi="600" orientation="portrait" scale="69" r:id="rId1"/>
</worksheet>
</file>

<file path=xl/worksheets/sheet6.xml><?xml version="1.0" encoding="utf-8"?>
<worksheet xmlns="http://schemas.openxmlformats.org/spreadsheetml/2006/main" xmlns:r="http://schemas.openxmlformats.org/officeDocument/2006/relationships">
  <sheetPr>
    <pageSetUpPr fitToPage="1"/>
  </sheetPr>
  <dimension ref="A1:P82"/>
  <sheetViews>
    <sheetView zoomScale="75" zoomScaleNormal="75" zoomScalePageLayoutView="0" workbookViewId="0" topLeftCell="C1">
      <selection activeCell="C11" sqref="C11"/>
    </sheetView>
  </sheetViews>
  <sheetFormatPr defaultColWidth="9.00390625" defaultRowHeight="12.75"/>
  <cols>
    <col min="1" max="2" width="0" style="0" hidden="1" customWidth="1"/>
    <col min="3" max="3" width="8.375" style="69" customWidth="1"/>
    <col min="4" max="4" width="4.50390625" style="56" customWidth="1"/>
    <col min="5" max="5" width="38.375" style="0" customWidth="1"/>
    <col min="6" max="6" width="5.75390625" style="0" hidden="1" customWidth="1"/>
    <col min="7" max="7" width="7.25390625" style="0" hidden="1" customWidth="1"/>
    <col min="8" max="8" width="0.74609375" style="63" customWidth="1"/>
    <col min="9" max="9" width="7.125" style="100" customWidth="1"/>
    <col min="10" max="10" width="7.625" style="0" customWidth="1"/>
    <col min="11" max="11" width="8.75390625" style="104" customWidth="1"/>
    <col min="12" max="12" width="0.6171875" style="63" customWidth="1"/>
    <col min="14" max="14" width="8.875" style="63" customWidth="1"/>
  </cols>
  <sheetData>
    <row r="1" spans="1:14" s="66" customFormat="1" ht="13.5" thickBot="1">
      <c r="A1" s="3"/>
      <c r="B1" s="3"/>
      <c r="C1" s="3"/>
      <c r="D1" s="3"/>
      <c r="E1" s="3"/>
      <c r="F1" s="3"/>
      <c r="G1" s="3"/>
      <c r="H1" s="151"/>
      <c r="I1" s="3"/>
      <c r="J1" s="3"/>
      <c r="K1" s="3"/>
      <c r="L1" s="151"/>
      <c r="M1" s="3"/>
      <c r="N1" s="3"/>
    </row>
    <row r="2" spans="1:14" ht="12.75">
      <c r="A2" s="55" t="str">
        <f>'RACE '!J2</f>
        <v>xx/xx/xx</v>
      </c>
      <c r="C2" s="168"/>
      <c r="D2" s="191" t="s">
        <v>19</v>
      </c>
      <c r="E2" s="175" t="str">
        <f>'RACE '!D1</f>
        <v>Enter Contest Name</v>
      </c>
      <c r="F2" s="190"/>
      <c r="G2" s="190"/>
      <c r="H2" s="225"/>
      <c r="I2" s="190"/>
      <c r="J2" s="190"/>
      <c r="K2" s="190"/>
      <c r="L2" s="225"/>
      <c r="M2" s="190"/>
      <c r="N2" s="422" t="str">
        <f>'RACE '!J2</f>
        <v>xx/xx/xx</v>
      </c>
    </row>
    <row r="3" spans="3:14" ht="12.75">
      <c r="C3" s="3"/>
      <c r="D3" s="27"/>
      <c r="E3" s="191" t="str">
        <f>N2</f>
        <v>xx/xx/xx</v>
      </c>
      <c r="F3" s="27"/>
      <c r="G3" s="27"/>
      <c r="H3" s="59"/>
      <c r="I3" s="27"/>
      <c r="J3" s="27"/>
      <c r="K3" s="27"/>
      <c r="L3" s="59"/>
      <c r="M3" s="27"/>
      <c r="N3" s="27"/>
    </row>
    <row r="4" spans="3:14" ht="13.5" thickBot="1">
      <c r="C4" s="168" t="str">
        <f>'RACE '!A2</f>
        <v>Contestant Name</v>
      </c>
      <c r="D4" s="27"/>
      <c r="E4" s="27"/>
      <c r="F4" s="27"/>
      <c r="G4" s="27"/>
      <c r="H4" s="59"/>
      <c r="I4" s="27"/>
      <c r="J4" s="27"/>
      <c r="K4" s="27"/>
      <c r="L4" s="59"/>
      <c r="M4" s="27"/>
      <c r="N4" s="27"/>
    </row>
    <row r="5" spans="3:14" ht="13.5" thickBot="1">
      <c r="C5" s="168" t="str">
        <f>'RACE '!A4</f>
        <v>Boat Name</v>
      </c>
      <c r="D5" s="27"/>
      <c r="E5" s="122"/>
      <c r="F5" s="122"/>
      <c r="G5" s="122"/>
      <c r="H5" s="242"/>
      <c r="I5" s="235" t="s">
        <v>162</v>
      </c>
      <c r="J5" s="197"/>
      <c r="K5" s="197"/>
      <c r="L5" s="226"/>
      <c r="M5" s="197"/>
      <c r="N5" s="198"/>
    </row>
    <row r="6" spans="3:16" ht="12.75">
      <c r="C6" s="168" t="str">
        <f>'RACE '!A5</f>
        <v>Navigator/Helmperson Name</v>
      </c>
      <c r="D6" s="27"/>
      <c r="E6" s="122"/>
      <c r="F6" s="122"/>
      <c r="G6" s="122"/>
      <c r="H6" s="242"/>
      <c r="I6" s="6"/>
      <c r="J6" s="6"/>
      <c r="K6" s="6"/>
      <c r="L6" s="227"/>
      <c r="M6" s="6"/>
      <c r="N6" s="193"/>
      <c r="P6" s="196"/>
    </row>
    <row r="7" spans="3:14" ht="13.5" thickBot="1">
      <c r="C7" s="27"/>
      <c r="D7" s="27"/>
      <c r="E7" s="123"/>
      <c r="F7" s="123"/>
      <c r="G7" s="123"/>
      <c r="H7" s="243"/>
      <c r="I7" s="194"/>
      <c r="J7" s="194"/>
      <c r="K7" s="194"/>
      <c r="L7" s="228"/>
      <c r="M7" s="194"/>
      <c r="N7" s="195"/>
    </row>
    <row r="8" spans="3:16" ht="13.5" thickBot="1">
      <c r="C8" s="185"/>
      <c r="D8" s="186"/>
      <c r="E8" s="174" t="s">
        <v>28</v>
      </c>
      <c r="F8" s="363" t="s">
        <v>168</v>
      </c>
      <c r="G8" s="231"/>
      <c r="H8" s="244"/>
      <c r="I8" s="236" t="s">
        <v>80</v>
      </c>
      <c r="J8" s="192" t="s">
        <v>81</v>
      </c>
      <c r="K8" s="219" t="s">
        <v>82</v>
      </c>
      <c r="L8" s="229"/>
      <c r="M8" s="3"/>
      <c r="P8" s="196"/>
    </row>
    <row r="9" spans="1:14" ht="13.5" thickBot="1">
      <c r="A9" s="157" t="s">
        <v>120</v>
      </c>
      <c r="B9" s="157" t="s">
        <v>21</v>
      </c>
      <c r="C9" s="184" t="s">
        <v>43</v>
      </c>
      <c r="D9" s="199" t="s">
        <v>34</v>
      </c>
      <c r="E9" s="173" t="s">
        <v>44</v>
      </c>
      <c r="F9" s="206" t="s">
        <v>101</v>
      </c>
      <c r="G9" s="232" t="s">
        <v>76</v>
      </c>
      <c r="H9" s="230"/>
      <c r="I9" s="237"/>
      <c r="J9" s="187"/>
      <c r="K9" s="220"/>
      <c r="L9" s="138"/>
      <c r="M9" s="188"/>
      <c r="N9" s="189"/>
    </row>
    <row r="10" spans="1:14" s="265" customFormat="1" ht="25.5" customHeight="1" thickBot="1">
      <c r="A10" s="327"/>
      <c r="B10" s="327"/>
      <c r="C10" s="260" t="str">
        <f>'RACE '!A9</f>
        <v>Start</v>
      </c>
      <c r="D10" s="272">
        <f>'RACE '!B9</f>
        <v>0</v>
      </c>
      <c r="E10" s="273" t="str">
        <f>'RACE '!D9</f>
        <v>Start - Green Roof N edge</v>
      </c>
      <c r="F10" s="260"/>
      <c r="G10" s="274">
        <f>IF('RACE '!C9=1,'RACE '!BA9,(IF('RACE '!C9=2,'RACE '!BA10,(IF('RACE '!C9=3,'RACE '!BA11,(IF('RACE '!C9=4,'RACE '!BA12,(IF('RACE '!C9=5,'RACE '!BA13,(IF('RACE '!C9=6,'RACE '!BA14,(IF('RACE '!C9=7,'RACE '!BA15,(IF('RACE '!C9=8,'RACE '!BA16,"")))))))))))))))</f>
      </c>
      <c r="H10" s="374"/>
      <c r="I10" s="375" t="s">
        <v>77</v>
      </c>
      <c r="J10" s="378" t="s">
        <v>77</v>
      </c>
      <c r="K10" s="377" t="s">
        <v>77</v>
      </c>
      <c r="L10" s="378"/>
      <c r="M10" s="263"/>
      <c r="N10" s="264"/>
    </row>
    <row r="11" spans="1:14" s="268" customFormat="1" ht="25.5" customHeight="1" thickBot="1">
      <c r="A11" s="280"/>
      <c r="B11" s="280"/>
      <c r="C11" s="204"/>
      <c r="D11" s="172">
        <f>'RACE '!B10</f>
        <v>1</v>
      </c>
      <c r="E11" s="129" t="str">
        <f>'RACE '!D10</f>
        <v>Sunrise Beach House</v>
      </c>
      <c r="F11" s="325">
        <f>IF('RACE '!C10="","",'RACE '!C10)</f>
      </c>
      <c r="G11" s="326">
        <f>IF('RACE '!C10=1,'RACE '!BA$10,(IF('RACE '!C10=2,'RACE '!BA$11,(IF('RACE '!C10=3,'RACE '!BA$12,(IF('RACE '!C10=4,'RACE '!BA$13,(IF('RACE '!C10=5,'RACE '!BA$14,(IF('RACE '!C10=6,'RACE '!BA$15,(IF('RACE '!C10=7,'RACE '!BA$16,(IF('RACE '!C10=8,'RACE '!BA$17,"")))))))))))))))</f>
      </c>
      <c r="H11" s="324"/>
      <c r="I11" s="239"/>
      <c r="J11" s="183"/>
      <c r="K11" s="222"/>
      <c r="L11" s="182"/>
      <c r="M11" s="30"/>
      <c r="N11" s="60"/>
    </row>
    <row r="12" spans="1:14" s="323" customFormat="1" ht="25.5" customHeight="1" thickBot="1">
      <c r="A12" s="328"/>
      <c r="B12" s="328"/>
      <c r="C12" s="205"/>
      <c r="D12" s="130">
        <f>'RACE '!B11</f>
        <v>2</v>
      </c>
      <c r="E12" s="129" t="str">
        <f>'RACE '!D11</f>
        <v>Sea Cliff Community Pier end</v>
      </c>
      <c r="F12" s="325">
        <f>IF('RACE '!C11="","",'RACE '!C11)</f>
      </c>
      <c r="G12" s="326">
        <f>IF('RACE '!C11=1,'RACE '!BA$10,(IF('RACE '!C11=2,'RACE '!BA$11,(IF('RACE '!C11=3,'RACE '!BA$12,(IF('RACE '!C11=4,'RACE '!BA$13,(IF('RACE '!C11=5,'RACE '!BA$14,(IF('RACE '!C11=6,'RACE '!BA$15,(IF('RACE '!C11=7,'RACE '!BA$16,(IF('RACE '!C11=8,'RACE '!BA$17,"")))))))))))))))</f>
      </c>
      <c r="H12" s="318"/>
      <c r="I12" s="238"/>
      <c r="J12" s="124"/>
      <c r="K12" s="221"/>
      <c r="L12" s="121"/>
      <c r="M12" s="67"/>
      <c r="N12" s="64"/>
    </row>
    <row r="13" spans="1:14" ht="25.5" customHeight="1" thickBot="1">
      <c r="A13" s="63"/>
      <c r="B13" s="63"/>
      <c r="C13" s="201"/>
      <c r="D13" s="172">
        <f>'RACE '!B12</f>
        <v>3</v>
      </c>
      <c r="E13" s="171" t="str">
        <f>'RACE '!D12</f>
        <v>CP-1 Colvos Psg Lt #6</v>
      </c>
      <c r="F13" s="176">
        <f>IF('RACE '!C12="","",'RACE '!C12)</f>
      </c>
      <c r="G13" s="233">
        <f>IF('RACE '!C12=1,'RACE '!BA$10,(IF('RACE '!C12=2,'RACE '!BA$11,(IF('RACE '!C12=3,'RACE '!BA$12,(IF('RACE '!C12=4,'RACE '!BA$13,(IF('RACE '!C12=5,'RACE '!BA$14,(IF('RACE '!C12=6,'RACE '!BA$15,(IF('RACE '!C12=7,'RACE '!BA$16,(IF('RACE '!C12=8,'RACE '!BA$17,"")))))))))))))))</f>
      </c>
      <c r="H13" s="177"/>
      <c r="I13" s="106" t="s">
        <v>77</v>
      </c>
      <c r="J13" s="30"/>
      <c r="K13" s="210"/>
      <c r="L13" s="60"/>
      <c r="M13" s="30"/>
      <c r="N13" s="60"/>
    </row>
    <row r="14" spans="1:14" s="395" customFormat="1" ht="25.5" customHeight="1" thickBot="1">
      <c r="A14" s="394"/>
      <c r="B14" s="394"/>
      <c r="C14" s="396"/>
      <c r="D14" s="416">
        <f>'RACE '!B13</f>
        <v>0</v>
      </c>
      <c r="E14" s="417">
        <f>'RACE '!D13</f>
        <v>0</v>
      </c>
      <c r="F14" s="397">
        <f>IF('RACE '!C13="","",'RACE '!C13)</f>
      </c>
      <c r="G14" s="399">
        <f>IF('RACE '!C13=1,'RACE '!BA$10,(IF('RACE '!C13=2,'RACE '!BA$11,(IF('RACE '!C13=3,'RACE '!BA$12,(IF('RACE '!C13=4,'RACE '!BA$13,(IF('RACE '!C13=5,'RACE '!BA$14,(IF('RACE '!C13=6,'RACE '!BA$15,(IF('RACE '!C13=7,'RACE '!BA$16,(IF('RACE '!C13=8,'RACE '!BA$17,"")))))))))))))))</f>
      </c>
      <c r="H14" s="399"/>
      <c r="I14" s="400" t="s">
        <v>77</v>
      </c>
      <c r="J14" s="401"/>
      <c r="K14" s="402"/>
      <c r="L14" s="397"/>
      <c r="M14" s="401"/>
      <c r="N14" s="397"/>
    </row>
    <row r="15" spans="1:14" s="403" customFormat="1" ht="25.5" customHeight="1" thickBot="1">
      <c r="A15" s="386"/>
      <c r="B15" s="386"/>
      <c r="C15" s="86"/>
      <c r="D15" s="418">
        <f>'RACE '!B14</f>
        <v>0</v>
      </c>
      <c r="E15" s="419">
        <f>'RACE '!D14</f>
        <v>0</v>
      </c>
      <c r="F15" s="387">
        <f>IF('RACE '!C14="","",'RACE '!C14)</f>
      </c>
      <c r="G15" s="388">
        <f>IF('RACE '!C14=1,'RACE '!BA$10,(IF('RACE '!C14=2,'RACE '!BA$11,(IF('RACE '!C14=3,'RACE '!BA$12,(IF('RACE '!C14=4,'RACE '!BA$13,(IF('RACE '!C14=5,'RACE '!BA$14,(IF('RACE '!C14=6,'RACE '!BA$15,(IF('RACE '!C14=7,'RACE '!BA$16,(IF('RACE '!C14=8,'RACE '!BA$17,"")))))))))))))))</f>
      </c>
      <c r="H15" s="389"/>
      <c r="I15" s="390" t="s">
        <v>77</v>
      </c>
      <c r="J15" s="391" t="s">
        <v>77</v>
      </c>
      <c r="K15" s="392"/>
      <c r="L15" s="393"/>
      <c r="M15" s="391"/>
      <c r="N15" s="393"/>
    </row>
    <row r="16" spans="1:14" s="66" customFormat="1" ht="25.5" customHeight="1" thickBot="1">
      <c r="A16" s="153"/>
      <c r="B16" s="153"/>
      <c r="C16" s="202"/>
      <c r="D16" s="130">
        <f>'RACE '!B15</f>
        <v>0</v>
      </c>
      <c r="E16" s="129">
        <f>'RACE '!D15</f>
        <v>0</v>
      </c>
      <c r="F16" s="178">
        <f>IF('RACE '!C15="","",'RACE '!C15)</f>
      </c>
      <c r="G16" s="234">
        <f>IF('RACE '!C15=1,'RACE '!BA$10,(IF('RACE '!C15=2,'RACE '!BA$11,(IF('RACE '!C15=3,'RACE '!BA$12,(IF('RACE '!C15=4,'RACE '!BA$13,(IF('RACE '!C15=5,'RACE '!BA$14,(IF('RACE '!C15=6,'RACE '!BA$15,(IF('RACE '!C15=7,'RACE '!BA$16,(IF('RACE '!C15=8,'RACE '!BA$17,"")))))))))))))))</f>
      </c>
      <c r="H16" s="179"/>
      <c r="I16" s="241" t="s">
        <v>77</v>
      </c>
      <c r="J16" s="67" t="s">
        <v>77</v>
      </c>
      <c r="K16" s="224"/>
      <c r="L16" s="64"/>
      <c r="M16" s="67"/>
      <c r="N16" s="64"/>
    </row>
    <row r="17" spans="1:14" s="3" customFormat="1" ht="25.5" customHeight="1" thickBot="1">
      <c r="A17" s="63"/>
      <c r="B17" s="63"/>
      <c r="C17" s="203"/>
      <c r="D17" s="172">
        <f>'RACE '!B16</f>
        <v>0</v>
      </c>
      <c r="E17" s="171">
        <f>'RACE '!D16</f>
        <v>0</v>
      </c>
      <c r="F17" s="176">
        <f>IF('RACE '!C16="","",'RACE '!C16)</f>
      </c>
      <c r="G17" s="233">
        <f>IF('RACE '!C16=1,'RACE '!BA$10,(IF('RACE '!C16=2,'RACE '!BA$11,(IF('RACE '!C16=3,'RACE '!BA$12,(IF('RACE '!C16=4,'RACE '!BA$13,(IF('RACE '!C16=5,'RACE '!BA$14,(IF('RACE '!C16=6,'RACE '!BA$15,(IF('RACE '!C16=7,'RACE '!BA$16,(IF('RACE '!C16=8,'RACE '!BA$17,"")))))))))))))))</f>
      </c>
      <c r="H17" s="177"/>
      <c r="I17" s="106"/>
      <c r="J17" s="30"/>
      <c r="K17" s="210"/>
      <c r="L17" s="60"/>
      <c r="M17" s="30"/>
      <c r="N17" s="60"/>
    </row>
    <row r="18" spans="1:14" s="66" customFormat="1" ht="25.5" customHeight="1" thickBot="1">
      <c r="A18" s="153"/>
      <c r="B18" s="153"/>
      <c r="C18" s="202"/>
      <c r="D18" s="130">
        <f>'RACE '!B17</f>
        <v>0</v>
      </c>
      <c r="E18" s="129">
        <f>'RACE '!D17</f>
        <v>0</v>
      </c>
      <c r="F18" s="178">
        <f>IF('RACE '!C17="","",'RACE '!C17)</f>
      </c>
      <c r="G18" s="234">
        <f>IF('RACE '!C17=1,'RACE '!BA$10,(IF('RACE '!C17=2,'RACE '!BA$11,(IF('RACE '!C17=3,'RACE '!BA$12,(IF('RACE '!C17=4,'RACE '!BA$13,(IF('RACE '!C17=5,'RACE '!BA$14,(IF('RACE '!C17=6,'RACE '!BA$15,(IF('RACE '!C17=7,'RACE '!BA$16,(IF('RACE '!C17=8,'RACE '!BA$17,"")))))))))))))))</f>
      </c>
      <c r="H18" s="179"/>
      <c r="I18" s="241"/>
      <c r="J18" s="67"/>
      <c r="K18" s="224"/>
      <c r="L18" s="64"/>
      <c r="M18" s="67"/>
      <c r="N18" s="64"/>
    </row>
    <row r="19" spans="1:14" s="265" customFormat="1" ht="25.5" customHeight="1" thickBot="1">
      <c r="A19" s="327"/>
      <c r="B19" s="327"/>
      <c r="C19" s="260">
        <f>'RACE '!A18</f>
        <v>1</v>
      </c>
      <c r="D19" s="272">
        <f>'RACE '!B18</f>
        <v>3</v>
      </c>
      <c r="E19" s="273" t="str">
        <f>'RACE '!D18</f>
        <v>CP-1 Colvos Psg Lt #6</v>
      </c>
      <c r="F19" s="260">
        <f>IF('RACE '!C18="","",'RACE '!C18)</f>
      </c>
      <c r="G19" s="274">
        <f>IF('RACE '!C18=1,'RACE '!BA$10,(IF('RACE '!C18=2,'RACE '!BA$11,(IF('RACE '!C18=3,'RACE '!BA$12,(IF('RACE '!C18=4,'RACE '!BA$13,(IF('RACE '!C18=5,'RACE '!BA$14,(IF('RACE '!C18=6,'RACE '!BA$15,(IF('RACE '!C18=7,'RACE '!BA$16,(IF('RACE '!C18=8,'RACE '!BA$17,"")))))))))))))))</f>
      </c>
      <c r="H19" s="374"/>
      <c r="I19" s="375" t="s">
        <v>77</v>
      </c>
      <c r="J19" s="376"/>
      <c r="K19" s="377"/>
      <c r="L19" s="378"/>
      <c r="M19" s="263"/>
      <c r="N19" s="264"/>
    </row>
    <row r="20" spans="1:14" s="574" customFormat="1" ht="25.5" customHeight="1" thickBot="1">
      <c r="A20" s="561"/>
      <c r="B20" s="561"/>
      <c r="C20" s="562"/>
      <c r="D20" s="563">
        <f>'RACE '!B19</f>
        <v>4</v>
      </c>
      <c r="E20" s="564" t="str">
        <f>'RACE '!D19</f>
        <v>TR-1 End</v>
      </c>
      <c r="F20" s="565">
        <f>IF('RACE '!C19="","",'RACE '!C19)</f>
        <v>1</v>
      </c>
      <c r="G20" s="566">
        <f>IF('RACE '!C19=1,'RACE '!BA$10,(IF('RACE '!C19=2,'RACE '!BA$11,(IF('RACE '!C19=3,'RACE '!BA$12,(IF('RACE '!C19=4,'RACE '!BA$13,(IF('RACE '!C19=5,'RACE '!BA$14,(IF('RACE '!C19=6,'RACE '!BA$15,(IF('RACE '!C19=7,'RACE '!BA$16,(IF('RACE '!C19=8,'RACE '!BA$17,"")))))))))))))))</f>
        <v>0.0039467681</v>
      </c>
      <c r="H20" s="567"/>
      <c r="I20" s="568"/>
      <c r="J20" s="569"/>
      <c r="K20" s="570"/>
      <c r="L20" s="571"/>
      <c r="M20" s="572"/>
      <c r="N20" s="573"/>
    </row>
    <row r="21" spans="1:14" s="323" customFormat="1" ht="25.5" customHeight="1" thickBot="1">
      <c r="A21" s="328"/>
      <c r="B21" s="328"/>
      <c r="C21" s="205"/>
      <c r="D21" s="130">
        <f>'RACE '!B20</f>
        <v>5</v>
      </c>
      <c r="E21" s="129" t="str">
        <f>'RACE '!D20</f>
        <v>Ollala Bridge mid span</v>
      </c>
      <c r="F21" s="325">
        <f>IF('RACE '!C20="","",'RACE '!C20)</f>
      </c>
      <c r="G21" s="326">
        <f>IF('RACE '!C20=1,'RACE '!BA$10,(IF('RACE '!C20=2,'RACE '!BA$11,(IF('RACE '!C20=3,'RACE '!BA$12,(IF('RACE '!C20=4,'RACE '!BA$13,(IF('RACE '!C20=5,'RACE '!BA$14,(IF('RACE '!C20=6,'RACE '!BA$15,(IF('RACE '!C20=7,'RACE '!BA$16,(IF('RACE '!C20=8,'RACE '!BA$17,"")))))))))))))))</f>
      </c>
      <c r="H21" s="318"/>
      <c r="I21" s="238"/>
      <c r="J21" s="124"/>
      <c r="K21" s="221"/>
      <c r="L21" s="121"/>
      <c r="M21" s="67"/>
      <c r="N21" s="64"/>
    </row>
    <row r="22" spans="1:14" s="249" customFormat="1" ht="25.5" customHeight="1" thickBot="1">
      <c r="A22" s="280"/>
      <c r="B22" s="280"/>
      <c r="C22" s="203"/>
      <c r="D22" s="172">
        <f>'RACE '!B21</f>
        <v>6</v>
      </c>
      <c r="E22" s="171" t="str">
        <f>'RACE '!D21</f>
        <v>CP-2 Colvos Light #4</v>
      </c>
      <c r="F22" s="316">
        <f>IF('RACE '!C21="","",'RACE '!C21)</f>
      </c>
      <c r="G22" s="317">
        <f>IF('RACE '!C21=1,'RACE '!BA$10,(IF('RACE '!C21=2,'RACE '!BA$11,(IF('RACE '!C21=3,'RACE '!BA$12,(IF('RACE '!C21=4,'RACE '!BA$13,(IF('RACE '!C21=5,'RACE '!BA$14,(IF('RACE '!C21=6,'RACE '!BA$15,(IF('RACE '!C21=7,'RACE '!BA$16,(IF('RACE '!C21=8,'RACE '!BA$17,"")))))))))))))))</f>
      </c>
      <c r="H22" s="324"/>
      <c r="I22" s="106" t="s">
        <v>77</v>
      </c>
      <c r="J22" s="30"/>
      <c r="K22" s="210"/>
      <c r="L22" s="60"/>
      <c r="M22" s="30"/>
      <c r="N22" s="60"/>
    </row>
    <row r="23" spans="1:14" s="323" customFormat="1" ht="25.5" customHeight="1" thickBot="1">
      <c r="A23" s="328"/>
      <c r="B23" s="328"/>
      <c r="C23" s="202"/>
      <c r="D23" s="130">
        <f>'RACE '!B22</f>
        <v>0</v>
      </c>
      <c r="E23" s="129">
        <f>'RACE '!D22</f>
        <v>0</v>
      </c>
      <c r="F23" s="325">
        <f>IF('RACE '!C22="","",'RACE '!C22)</f>
      </c>
      <c r="G23" s="326">
        <f>IF('RACE '!C22=1,'RACE '!BA$10,(IF('RACE '!C22=2,'RACE '!BA$11,(IF('RACE '!C22=3,'RACE '!BA$12,(IF('RACE '!C22=4,'RACE '!BA$13,(IF('RACE '!C22=5,'RACE '!BA$14,(IF('RACE '!C22=6,'RACE '!BA$15,(IF('RACE '!C22=7,'RACE '!BA$16,(IF('RACE '!C22=8,'RACE '!BA$17,"")))))))))))))))</f>
      </c>
      <c r="H23" s="318"/>
      <c r="I23" s="319" t="s">
        <v>77</v>
      </c>
      <c r="J23" s="320"/>
      <c r="K23" s="321"/>
      <c r="L23" s="322"/>
      <c r="M23" s="320"/>
      <c r="N23" s="322"/>
    </row>
    <row r="24" spans="1:14" s="3" customFormat="1" ht="25.5" customHeight="1" thickBot="1">
      <c r="A24" s="63"/>
      <c r="B24" s="63"/>
      <c r="C24" s="201"/>
      <c r="D24" s="172">
        <f>'RACE '!B23</f>
        <v>0</v>
      </c>
      <c r="E24" s="171">
        <f>'RACE '!D23</f>
        <v>0</v>
      </c>
      <c r="F24" s="176">
        <f>IF('RACE '!C23="","",'RACE '!C23)</f>
      </c>
      <c r="G24" s="233">
        <f>IF('RACE '!C23=1,'RACE '!BA$10,(IF('RACE '!C23=2,'RACE '!BA$11,(IF('RACE '!C23=3,'RACE '!BA$12,(IF('RACE '!C23=4,'RACE '!BA$13,(IF('RACE '!C23=5,'RACE '!BA$14,(IF('RACE '!C23=6,'RACE '!BA$15,(IF('RACE '!C23=7,'RACE '!BA$16,(IF('RACE '!C23=8,'RACE '!BA$17,"")))))))))))))))</f>
      </c>
      <c r="H24" s="177"/>
      <c r="I24" s="106" t="s">
        <v>77</v>
      </c>
      <c r="J24" s="30" t="s">
        <v>77</v>
      </c>
      <c r="K24" s="210"/>
      <c r="L24" s="60"/>
      <c r="M24" s="30"/>
      <c r="N24" s="60"/>
    </row>
    <row r="25" spans="1:14" s="66" customFormat="1" ht="25.5" customHeight="1" thickBot="1">
      <c r="A25" s="153"/>
      <c r="B25" s="153"/>
      <c r="C25" s="202"/>
      <c r="D25" s="130">
        <f>'RACE '!B24</f>
        <v>0</v>
      </c>
      <c r="E25" s="129">
        <f>'RACE '!D24</f>
        <v>0</v>
      </c>
      <c r="F25" s="178">
        <f>IF('RACE '!C24="","",'RACE '!C24)</f>
      </c>
      <c r="G25" s="234">
        <f>IF('RACE '!C24=1,'RACE '!BA$10,(IF('RACE '!C24=2,'RACE '!BA$11,(IF('RACE '!C24=3,'RACE '!BA$12,(IF('RACE '!C24=4,'RACE '!BA$13,(IF('RACE '!C24=5,'RACE '!BA$14,(IF('RACE '!C24=6,'RACE '!BA$15,(IF('RACE '!C24=7,'RACE '!BA$16,(IF('RACE '!C24=8,'RACE '!BA$17,"")))))))))))))))</f>
      </c>
      <c r="H25" s="179"/>
      <c r="I25" s="241" t="s">
        <v>77</v>
      </c>
      <c r="J25" s="67" t="s">
        <v>77</v>
      </c>
      <c r="K25" s="224"/>
      <c r="L25" s="64"/>
      <c r="M25" s="67"/>
      <c r="N25" s="64"/>
    </row>
    <row r="26" spans="1:14" s="3" customFormat="1" ht="25.5" customHeight="1" thickBot="1">
      <c r="A26" s="63"/>
      <c r="B26" s="63"/>
      <c r="C26" s="203"/>
      <c r="D26" s="172">
        <f>'RACE '!B25</f>
        <v>0</v>
      </c>
      <c r="E26" s="171">
        <f>'RACE '!D25</f>
        <v>0</v>
      </c>
      <c r="F26" s="176">
        <f>IF('RACE '!C25="","",'RACE '!C25)</f>
      </c>
      <c r="G26" s="233">
        <f>IF('RACE '!C25=1,'RACE '!BA$10,(IF('RACE '!C25=2,'RACE '!BA$11,(IF('RACE '!C25=3,'RACE '!BA$12,(IF('RACE '!C25=4,'RACE '!BA$13,(IF('RACE '!C25=5,'RACE '!BA$14,(IF('RACE '!C25=6,'RACE '!BA$15,(IF('RACE '!C25=7,'RACE '!BA$16,(IF('RACE '!C25=8,'RACE '!BA$17,"")))))))))))))))</f>
      </c>
      <c r="H26" s="177"/>
      <c r="I26" s="106"/>
      <c r="J26" s="30"/>
      <c r="K26" s="210"/>
      <c r="L26" s="60"/>
      <c r="M26" s="30"/>
      <c r="N26" s="60"/>
    </row>
    <row r="27" spans="1:14" s="66" customFormat="1" ht="25.5" customHeight="1" thickBot="1">
      <c r="A27" s="153"/>
      <c r="B27" s="153"/>
      <c r="C27" s="202"/>
      <c r="D27" s="130">
        <f>'RACE '!B26</f>
        <v>0</v>
      </c>
      <c r="E27" s="129">
        <f>'RACE '!D26</f>
        <v>0</v>
      </c>
      <c r="F27" s="178">
        <f>IF('RACE '!C26="","",'RACE '!C26)</f>
      </c>
      <c r="G27" s="234">
        <f>IF('RACE '!C26=1,'RACE '!BA$10,(IF('RACE '!C26=2,'RACE '!BA$11,(IF('RACE '!C26=3,'RACE '!BA$12,(IF('RACE '!C26=4,'RACE '!BA$13,(IF('RACE '!C26=5,'RACE '!BA$14,(IF('RACE '!C26=6,'RACE '!BA$15,(IF('RACE '!C26=7,'RACE '!BA$16,(IF('RACE '!C26=8,'RACE '!BA$17,"")))))))))))))))</f>
      </c>
      <c r="H27" s="179"/>
      <c r="I27" s="241"/>
      <c r="J27" s="67"/>
      <c r="K27" s="224"/>
      <c r="L27" s="64"/>
      <c r="M27" s="67"/>
      <c r="N27" s="64"/>
    </row>
    <row r="28" spans="1:14" s="265" customFormat="1" ht="25.5" customHeight="1" thickBot="1">
      <c r="A28" s="327"/>
      <c r="B28" s="327"/>
      <c r="C28" s="260">
        <f>'RACE '!A27</f>
        <v>2</v>
      </c>
      <c r="D28" s="272">
        <f>'RACE '!B27</f>
        <v>6</v>
      </c>
      <c r="E28" s="273" t="str">
        <f>'RACE '!D27</f>
        <v>CP-2 Colvos Light #4</v>
      </c>
      <c r="F28" s="260">
        <f>IF('RACE '!C27="","",'RACE '!C27)</f>
      </c>
      <c r="G28" s="274">
        <f>IF('RACE '!C27=1,'RACE '!BA$10,(IF('RACE '!C27=2,'RACE '!BA$11,(IF('RACE '!C27=3,'RACE '!BA$12,(IF('RACE '!C27=4,'RACE '!BA$13,(IF('RACE '!C27=5,'RACE '!BA$14,(IF('RACE '!C27=6,'RACE '!BA$15,(IF('RACE '!C27=7,'RACE '!BA$16,(IF('RACE '!C27=8,'RACE '!BA$17,"")))))))))))))))</f>
      </c>
      <c r="H28" s="374"/>
      <c r="I28" s="375" t="s">
        <v>77</v>
      </c>
      <c r="J28" s="376"/>
      <c r="K28" s="377"/>
      <c r="L28" s="378"/>
      <c r="M28" s="263"/>
      <c r="N28" s="264"/>
    </row>
    <row r="29" spans="1:14" s="268" customFormat="1" ht="25.5" customHeight="1" thickBot="1">
      <c r="A29" s="280"/>
      <c r="B29" s="280"/>
      <c r="C29" s="204"/>
      <c r="D29" s="172">
        <f>'RACE '!B28</f>
        <v>7</v>
      </c>
      <c r="E29" s="171" t="str">
        <f>'RACE '!D28</f>
        <v>TR-2 End</v>
      </c>
      <c r="F29" s="316">
        <f>IF('RACE '!C28="","",'RACE '!C28)</f>
        <v>2</v>
      </c>
      <c r="G29" s="317">
        <f>IF('RACE '!C28=1,'RACE '!BA$10,(IF('RACE '!C28=2,'RACE '!BA$11,(IF('RACE '!C28=3,'RACE '!BA$12,(IF('RACE '!C28=4,'RACE '!BA$13,(IF('RACE '!C28=5,'RACE '!BA$14,(IF('RACE '!C28=6,'RACE '!BA$15,(IF('RACE '!C28=7,'RACE '!BA$16,(IF('RACE '!C28=8,'RACE '!BA$17,"")))))))))))))))</f>
        <v>0.0026273207</v>
      </c>
      <c r="H29" s="324"/>
      <c r="I29" s="239"/>
      <c r="J29" s="183"/>
      <c r="K29" s="222"/>
      <c r="L29" s="182"/>
      <c r="M29" s="30"/>
      <c r="N29" s="60"/>
    </row>
    <row r="30" spans="1:14" s="323" customFormat="1" ht="25.5" customHeight="1" thickBot="1">
      <c r="A30" s="328"/>
      <c r="B30" s="328"/>
      <c r="C30" s="205"/>
      <c r="D30" s="130">
        <f>'RACE '!B29</f>
        <v>8</v>
      </c>
      <c r="E30" s="129" t="str">
        <f>'RACE '!D29</f>
        <v>Lisabuela Road Extension</v>
      </c>
      <c r="F30" s="325">
        <f>IF('RACE '!C29="","",'RACE '!C29)</f>
      </c>
      <c r="G30" s="326">
        <f>IF('RACE '!C29=1,'RACE '!BA$10,(IF('RACE '!C29=2,'RACE '!BA$11,(IF('RACE '!C29=3,'RACE '!BA$12,(IF('RACE '!C29=4,'RACE '!BA$13,(IF('RACE '!C29=5,'RACE '!BA$14,(IF('RACE '!C29=6,'RACE '!BA$15,(IF('RACE '!C29=7,'RACE '!BA$16,(IF('RACE '!C29=8,'RACE '!BA$17,"")))))))))))))))</f>
      </c>
      <c r="H30" s="318"/>
      <c r="I30" s="238"/>
      <c r="J30" s="124"/>
      <c r="K30" s="221"/>
      <c r="L30" s="121"/>
      <c r="M30" s="67"/>
      <c r="N30" s="64"/>
    </row>
    <row r="31" spans="1:14" s="53" customFormat="1" ht="25.5" customHeight="1" thickBot="1">
      <c r="A31" s="275"/>
      <c r="B31" s="275"/>
      <c r="C31" s="201"/>
      <c r="D31" s="532">
        <f>'RACE '!B30</f>
        <v>9</v>
      </c>
      <c r="E31" s="175" t="str">
        <f>'RACE '!D30</f>
        <v>CP-3 Colvos Light #5</v>
      </c>
      <c r="F31" s="176">
        <f>IF('RACE '!C30="","",'RACE '!C30)</f>
      </c>
      <c r="G31" s="233">
        <f>IF('RACE '!C30=1,'RACE '!BA$10,(IF('RACE '!C30=2,'RACE '!BA$11,(IF('RACE '!C30=3,'RACE '!BA$12,(IF('RACE '!C30=4,'RACE '!BA$13,(IF('RACE '!C30=5,'RACE '!BA$14,(IF('RACE '!C30=6,'RACE '!BA$15,(IF('RACE '!C30=7,'RACE '!BA$16,(IF('RACE '!C30=8,'RACE '!BA$17,"")))))))))))))))</f>
      </c>
      <c r="H31" s="177"/>
      <c r="I31" s="533" t="s">
        <v>77</v>
      </c>
      <c r="J31" s="534"/>
      <c r="K31" s="535"/>
      <c r="L31" s="536"/>
      <c r="M31" s="534"/>
      <c r="N31" s="536"/>
    </row>
    <row r="32" spans="1:14" s="66" customFormat="1" ht="25.5" customHeight="1" thickBot="1">
      <c r="A32" s="153"/>
      <c r="B32" s="153"/>
      <c r="C32" s="200"/>
      <c r="D32" s="130">
        <f>'RACE '!B31</f>
        <v>0</v>
      </c>
      <c r="E32" s="129">
        <f>'RACE '!D31</f>
        <v>0</v>
      </c>
      <c r="F32" s="178">
        <f>IF('RACE '!C31="","",'RACE '!C31)</f>
      </c>
      <c r="G32" s="234">
        <f>IF('RACE '!C31=1,'RACE '!BA$10,(IF('RACE '!C31=2,'RACE '!BA$11,(IF('RACE '!C31=3,'RACE '!BA$12,(IF('RACE '!C31=4,'RACE '!BA$13,(IF('RACE '!C31=5,'RACE '!BA$14,(IF('RACE '!C31=6,'RACE '!BA$15,(IF('RACE '!C31=7,'RACE '!BA$16,(IF('RACE '!C31=8,'RACE '!BA$17,"")))))))))))))))</f>
      </c>
      <c r="H32" s="179"/>
      <c r="I32" s="240" t="s">
        <v>77</v>
      </c>
      <c r="J32" s="181"/>
      <c r="K32" s="223"/>
      <c r="L32" s="180"/>
      <c r="M32" s="181"/>
      <c r="N32" s="180"/>
    </row>
    <row r="33" spans="1:14" s="268" customFormat="1" ht="25.5" customHeight="1" thickBot="1">
      <c r="A33" s="280"/>
      <c r="B33" s="280"/>
      <c r="C33" s="203"/>
      <c r="D33" s="172">
        <f>'RACE '!B32</f>
        <v>0</v>
      </c>
      <c r="E33" s="171">
        <f>'RACE '!D32</f>
        <v>0</v>
      </c>
      <c r="F33" s="316">
        <f>IF('RACE '!C32="","",'RACE '!C32)</f>
      </c>
      <c r="G33" s="317">
        <f>IF('RACE '!C32=1,'RACE '!BA$10,(IF('RACE '!C32=2,'RACE '!BA$11,(IF('RACE '!C32=3,'RACE '!BA$12,(IF('RACE '!C32=4,'RACE '!BA$13,(IF('RACE '!C32=5,'RACE '!BA$14,(IF('RACE '!C32=6,'RACE '!BA$15,(IF('RACE '!C32=7,'RACE '!BA$16,(IF('RACE '!C32=8,'RACE '!BA$17,"")))))))))))))))</f>
      </c>
      <c r="H33" s="324"/>
      <c r="I33" s="106" t="s">
        <v>77</v>
      </c>
      <c r="J33" s="30" t="s">
        <v>77</v>
      </c>
      <c r="K33" s="210"/>
      <c r="L33" s="60"/>
      <c r="M33" s="30"/>
      <c r="N33" s="60"/>
    </row>
    <row r="34" spans="1:14" s="265" customFormat="1" ht="25.5" customHeight="1" thickBot="1">
      <c r="A34" s="327"/>
      <c r="B34" s="327"/>
      <c r="C34" s="200"/>
      <c r="D34" s="261">
        <f>'RACE '!B33</f>
        <v>0</v>
      </c>
      <c r="E34" s="262">
        <f>'RACE '!D33</f>
        <v>0</v>
      </c>
      <c r="F34" s="178">
        <f>IF('RACE '!C33="","",'RACE '!C33)</f>
      </c>
      <c r="G34" s="234">
        <f>IF('RACE '!C33=1,'RACE '!BA$10,(IF('RACE '!C33=2,'RACE '!BA$11,(IF('RACE '!C33=3,'RACE '!BA$12,(IF('RACE '!C33=4,'RACE '!BA$13,(IF('RACE '!C33=5,'RACE '!BA$14,(IF('RACE '!C33=6,'RACE '!BA$15,(IF('RACE '!C33=7,'RACE '!BA$16,(IF('RACE '!C33=8,'RACE '!BA$17,"")))))))))))))))</f>
      </c>
      <c r="H34" s="179"/>
      <c r="I34" s="436" t="s">
        <v>77</v>
      </c>
      <c r="J34" s="263" t="s">
        <v>77</v>
      </c>
      <c r="K34" s="437"/>
      <c r="L34" s="264"/>
      <c r="M34" s="263"/>
      <c r="N34" s="264"/>
    </row>
    <row r="35" spans="1:14" s="3" customFormat="1" ht="25.5" customHeight="1" thickBot="1">
      <c r="A35" s="63"/>
      <c r="B35" s="63"/>
      <c r="C35" s="203"/>
      <c r="D35" s="172">
        <f>'RACE '!B34</f>
        <v>0</v>
      </c>
      <c r="E35" s="171">
        <f>'RACE '!D34</f>
        <v>0</v>
      </c>
      <c r="F35" s="176">
        <f>IF('RACE '!C34="","",'RACE '!C34)</f>
      </c>
      <c r="G35" s="233">
        <f>IF('RACE '!C34=1,'RACE '!BA$10,(IF('RACE '!C34=2,'RACE '!BA$11,(IF('RACE '!C34=3,'RACE '!BA$12,(IF('RACE '!C34=4,'RACE '!BA$13,(IF('RACE '!C34=5,'RACE '!BA$14,(IF('RACE '!C34=6,'RACE '!BA$15,(IF('RACE '!C34=7,'RACE '!BA$16,(IF('RACE '!C34=8,'RACE '!BA$17,"")))))))))))))))</f>
      </c>
      <c r="H35" s="177"/>
      <c r="I35" s="106"/>
      <c r="J35" s="30"/>
      <c r="K35" s="210"/>
      <c r="L35" s="60"/>
      <c r="M35" s="30"/>
      <c r="N35" s="60"/>
    </row>
    <row r="36" spans="1:14" s="66" customFormat="1" ht="25.5" customHeight="1" thickBot="1">
      <c r="A36" s="153"/>
      <c r="B36" s="153"/>
      <c r="C36" s="202"/>
      <c r="D36" s="130">
        <f>'RACE '!B35</f>
        <v>0</v>
      </c>
      <c r="E36" s="129">
        <f>'RACE '!D35</f>
        <v>0</v>
      </c>
      <c r="F36" s="178">
        <f>IF('RACE '!C35="","",'RACE '!C35)</f>
      </c>
      <c r="G36" s="234">
        <f>IF('RACE '!C35=1,'RACE '!BA$10,(IF('RACE '!C35=2,'RACE '!BA$11,(IF('RACE '!C35=3,'RACE '!BA$12,(IF('RACE '!C35=4,'RACE '!BA$13,(IF('RACE '!C35=5,'RACE '!BA$14,(IF('RACE '!C35=6,'RACE '!BA$15,(IF('RACE '!C35=7,'RACE '!BA$16,(IF('RACE '!C35=8,'RACE '!BA$17,"")))))))))))))))</f>
      </c>
      <c r="H36" s="179"/>
      <c r="I36" s="241"/>
      <c r="J36" s="67"/>
      <c r="K36" s="224"/>
      <c r="L36" s="64"/>
      <c r="M36" s="67"/>
      <c r="N36" s="64"/>
    </row>
    <row r="37" spans="1:14" s="265" customFormat="1" ht="25.5" customHeight="1" thickBot="1">
      <c r="A37" s="327"/>
      <c r="B37" s="327"/>
      <c r="C37" s="260">
        <f>'RACE '!A36</f>
        <v>3</v>
      </c>
      <c r="D37" s="272">
        <f>'RACE '!B36</f>
        <v>9</v>
      </c>
      <c r="E37" s="273" t="str">
        <f>'RACE '!D36</f>
        <v>CP-3 Colvos Light #5</v>
      </c>
      <c r="F37" s="260">
        <f>IF('RACE '!C36="","",'RACE '!C36)</f>
      </c>
      <c r="G37" s="274">
        <f>IF('RACE '!C36=1,'RACE '!BA$10,(IF('RACE '!C36=2,'RACE '!BA$11,(IF('RACE '!C36=3,'RACE '!BA$12,(IF('RACE '!C36=4,'RACE '!BA$13,(IF('RACE '!C36=5,'RACE '!BA$14,(IF('RACE '!C36=6,'RACE '!BA$15,(IF('RACE '!C36=7,'RACE '!BA$16,(IF('RACE '!C36=8,'RACE '!BA$17,"")))))))))))))))</f>
      </c>
      <c r="H37" s="374"/>
      <c r="I37" s="375" t="s">
        <v>77</v>
      </c>
      <c r="J37" s="376"/>
      <c r="K37" s="377"/>
      <c r="L37" s="378"/>
      <c r="M37" s="263"/>
      <c r="N37" s="264"/>
    </row>
    <row r="38" spans="1:14" s="268" customFormat="1" ht="25.5" customHeight="1" thickBot="1">
      <c r="A38" s="465"/>
      <c r="B38" s="421"/>
      <c r="C38" s="204"/>
      <c r="D38" s="172">
        <f>'RACE '!B37</f>
        <v>10</v>
      </c>
      <c r="E38" s="171" t="str">
        <f>'RACE '!D37</f>
        <v>Colvos Psg Lt #6</v>
      </c>
      <c r="F38" s="325">
        <f>IF('RACE '!C37="","",'RACE '!C37)</f>
      </c>
      <c r="G38" s="326">
        <f>IF('RACE '!C37=1,'RACE '!BA$10,(IF('RACE '!C37=2,'RACE '!BA$11,(IF('RACE '!C37=3,'RACE '!BA$12,(IF('RACE '!C37=4,'RACE '!BA$13,(IF('RACE '!C37=5,'RACE '!BA$14,(IF('RACE '!C37=6,'RACE '!BA$15,(IF('RACE '!C37=7,'RACE '!BA$16,(IF('RACE '!C37=8,'RACE '!BA$17,"")))))))))))))))</f>
      </c>
      <c r="H38" s="324"/>
      <c r="I38" s="239"/>
      <c r="J38" s="183"/>
      <c r="K38" s="222"/>
      <c r="L38" s="182"/>
      <c r="M38" s="30"/>
      <c r="N38" s="60"/>
    </row>
    <row r="39" spans="1:14" s="323" customFormat="1" ht="25.5" customHeight="1" thickBot="1">
      <c r="A39" s="328"/>
      <c r="B39" s="361"/>
      <c r="C39" s="205"/>
      <c r="D39" s="130">
        <f>'RACE '!B38</f>
        <v>11</v>
      </c>
      <c r="E39" s="129" t="str">
        <f>'RACE '!D38</f>
        <v>NW Corner Camp Sealth Pier</v>
      </c>
      <c r="F39" s="325">
        <f>IF('RACE '!C38="","",'RACE '!C38)</f>
      </c>
      <c r="G39" s="326">
        <f>IF('RACE '!C38=1,'RACE '!BA$10,(IF('RACE '!C38=2,'RACE '!BA$11,(IF('RACE '!C38=3,'RACE '!BA$12,(IF('RACE '!C38=4,'RACE '!BA$13,(IF('RACE '!C38=5,'RACE '!BA$14,(IF('RACE '!C38=6,'RACE '!BA$15,(IF('RACE '!C38=7,'RACE '!BA$16,(IF('RACE '!C38=8,'RACE '!BA$17,"")))))))))))))))</f>
      </c>
      <c r="H39" s="318"/>
      <c r="I39" s="238"/>
      <c r="J39" s="124"/>
      <c r="K39" s="221"/>
      <c r="L39" s="121"/>
      <c r="M39" s="67"/>
      <c r="N39" s="64"/>
    </row>
    <row r="40" spans="1:14" s="53" customFormat="1" ht="25.5" customHeight="1" thickBot="1">
      <c r="A40" s="275"/>
      <c r="B40" s="531"/>
      <c r="C40" s="201"/>
      <c r="D40" s="532">
        <f>'RACE '!B39</f>
        <v>12</v>
      </c>
      <c r="E40" s="175" t="str">
        <f>'RACE '!D39</f>
        <v>Spring Beach Rd Extension</v>
      </c>
      <c r="F40" s="178">
        <f>IF('RACE '!C39="","",'RACE '!C39)</f>
      </c>
      <c r="G40" s="234">
        <f>IF('RACE '!C39=1,'RACE '!BA$10,(IF('RACE '!C39=2,'RACE '!BA$11,(IF('RACE '!C39=3,'RACE '!BA$12,(IF('RACE '!C39=4,'RACE '!BA$13,(IF('RACE '!C39=5,'RACE '!BA$14,(IF('RACE '!C39=6,'RACE '!BA$15,(IF('RACE '!C39=7,'RACE '!BA$16,(IF('RACE '!C39=8,'RACE '!BA$17,"")))))))))))))))</f>
      </c>
      <c r="H40" s="177"/>
      <c r="I40" s="533" t="s">
        <v>77</v>
      </c>
      <c r="J40" s="534"/>
      <c r="K40" s="535"/>
      <c r="L40" s="536"/>
      <c r="M40" s="534"/>
      <c r="N40" s="536"/>
    </row>
    <row r="41" spans="1:14" s="323" customFormat="1" ht="25.5" customHeight="1" thickBot="1">
      <c r="A41" s="328"/>
      <c r="B41" s="361"/>
      <c r="C41" s="202"/>
      <c r="D41" s="129">
        <f>'RACE '!B40</f>
        <v>13</v>
      </c>
      <c r="E41" s="259" t="str">
        <f>'RACE '!D40</f>
        <v>North Pt Dalco House west end</v>
      </c>
      <c r="F41" s="178">
        <f>IF('RACE '!C40="","",'RACE '!C40)</f>
      </c>
      <c r="G41" s="234">
        <f>IF('RACE '!C40=1,'RACE '!BA$10,(IF('RACE '!C40=2,'RACE '!BA$11,(IF('RACE '!C40=3,'RACE '!BA$12,(IF('RACE '!C40=4,'RACE '!BA$13,(IF('RACE '!C40=5,'RACE '!BA$14,(IF('RACE '!C40=6,'RACE '!BA$15,(IF('RACE '!C40=7,'RACE '!BA$16,(IF('RACE '!C40=8,'RACE '!BA$17,"")))))))))))))))</f>
      </c>
      <c r="H41" s="177"/>
      <c r="I41" s="319" t="s">
        <v>77</v>
      </c>
      <c r="J41" s="320"/>
      <c r="K41" s="321"/>
      <c r="L41" s="322"/>
      <c r="M41" s="320"/>
      <c r="N41" s="322"/>
    </row>
    <row r="42" spans="1:14" s="3" customFormat="1" ht="25.5" customHeight="1" thickBot="1">
      <c r="A42" s="63"/>
      <c r="B42" s="100"/>
      <c r="C42" s="201"/>
      <c r="D42" s="172">
        <f>'RACE '!B41</f>
        <v>14</v>
      </c>
      <c r="E42" s="171" t="str">
        <f>'RACE '!D41</f>
        <v>CP-4 Dalco Pt house west end</v>
      </c>
      <c r="F42" s="178">
        <f>IF('RACE '!C41="","",'RACE '!C41)</f>
      </c>
      <c r="G42" s="234">
        <f>IF('RACE '!C41=1,'RACE '!BA$10,(IF('RACE '!C41=2,'RACE '!BA$11,(IF('RACE '!C41=3,'RACE '!BA$12,(IF('RACE '!C41=4,'RACE '!BA$13,(IF('RACE '!C41=5,'RACE '!BA$14,(IF('RACE '!C41=6,'RACE '!BA$15,(IF('RACE '!C41=7,'RACE '!BA$16,(IF('RACE '!C41=8,'RACE '!BA$17,"")))))))))))))))</f>
      </c>
      <c r="H42" s="177"/>
      <c r="I42" s="106" t="s">
        <v>77</v>
      </c>
      <c r="J42" s="30" t="s">
        <v>77</v>
      </c>
      <c r="K42" s="210"/>
      <c r="L42" s="60"/>
      <c r="M42" s="30"/>
      <c r="N42" s="60"/>
    </row>
    <row r="43" spans="1:14" s="66" customFormat="1" ht="25.5" customHeight="1" thickBot="1">
      <c r="A43" s="153"/>
      <c r="B43" s="360"/>
      <c r="C43" s="202"/>
      <c r="D43" s="130">
        <f>'RACE '!B42</f>
        <v>0</v>
      </c>
      <c r="E43" s="129">
        <f>'RACE '!D42</f>
        <v>0</v>
      </c>
      <c r="F43" s="178">
        <f>IF('RACE '!C42="","",'RACE '!C42)</f>
      </c>
      <c r="G43" s="234">
        <f>IF('RACE '!C42=1,'RACE '!BA$10,(IF('RACE '!C42=2,'RACE '!BA$11,(IF('RACE '!C42=3,'RACE '!BA$12,(IF('RACE '!C42=4,'RACE '!BA$13,(IF('RACE '!C42=5,'RACE '!BA$14,(IF('RACE '!C42=6,'RACE '!BA$15,(IF('RACE '!C42=7,'RACE '!BA$16,(IF('RACE '!C42=8,'RACE '!BA$17,"")))))))))))))))</f>
      </c>
      <c r="H43" s="179"/>
      <c r="I43" s="241" t="s">
        <v>77</v>
      </c>
      <c r="J43" s="67" t="s">
        <v>77</v>
      </c>
      <c r="K43" s="224"/>
      <c r="L43" s="64"/>
      <c r="M43" s="67"/>
      <c r="N43" s="64"/>
    </row>
    <row r="44" spans="1:14" s="3" customFormat="1" ht="25.5" customHeight="1" thickBot="1">
      <c r="A44" s="63"/>
      <c r="B44" s="100"/>
      <c r="C44" s="203"/>
      <c r="D44" s="172">
        <f>'RACE '!B43</f>
        <v>0</v>
      </c>
      <c r="E44" s="171">
        <f>'RACE '!D43</f>
        <v>0</v>
      </c>
      <c r="F44" s="178">
        <f>IF('RACE '!C43="","",'RACE '!C43)</f>
      </c>
      <c r="G44" s="234">
        <f>IF('RACE '!C43=1,'RACE '!BA$10,(IF('RACE '!C43=2,'RACE '!BA$11,(IF('RACE '!C43=3,'RACE '!BA$12,(IF('RACE '!C43=4,'RACE '!BA$13,(IF('RACE '!C43=5,'RACE '!BA$14,(IF('RACE '!C43=6,'RACE '!BA$15,(IF('RACE '!C43=7,'RACE '!BA$16,(IF('RACE '!C43=8,'RACE '!BA$17,"")))))))))))))))</f>
      </c>
      <c r="H44" s="177"/>
      <c r="I44" s="106"/>
      <c r="J44" s="30"/>
      <c r="K44" s="210"/>
      <c r="L44" s="60"/>
      <c r="M44" s="30"/>
      <c r="N44" s="60"/>
    </row>
    <row r="45" spans="1:14" s="66" customFormat="1" ht="25.5" customHeight="1" thickBot="1">
      <c r="A45" s="153"/>
      <c r="B45" s="360"/>
      <c r="C45" s="202"/>
      <c r="D45" s="130">
        <f>'RACE '!B44</f>
        <v>0</v>
      </c>
      <c r="E45" s="129">
        <f>'RACE '!D44</f>
        <v>0</v>
      </c>
      <c r="F45" s="178">
        <f>IF('RACE '!C44="","",'RACE '!C44)</f>
      </c>
      <c r="G45" s="234">
        <f>IF('RACE '!C44=1,'RACE '!BA$10,(IF('RACE '!C44=2,'RACE '!BA$11,(IF('RACE '!C44=3,'RACE '!BA$12,(IF('RACE '!C44=4,'RACE '!BA$13,(IF('RACE '!C44=5,'RACE '!BA$14,(IF('RACE '!C44=6,'RACE '!BA$15,(IF('RACE '!C44=7,'RACE '!BA$16,(IF('RACE '!C44=8,'RACE '!BA$17,"")))))))))))))))</f>
      </c>
      <c r="H45" s="179"/>
      <c r="I45" s="241"/>
      <c r="J45" s="67"/>
      <c r="K45" s="224"/>
      <c r="L45" s="64"/>
      <c r="M45" s="67"/>
      <c r="N45" s="64"/>
    </row>
    <row r="46" spans="1:14" s="265" customFormat="1" ht="25.5" customHeight="1" thickBot="1">
      <c r="A46" s="327"/>
      <c r="B46" s="362"/>
      <c r="C46" s="260">
        <f>'RACE '!A45</f>
        <v>4</v>
      </c>
      <c r="D46" s="272">
        <f>'RACE '!B45</f>
        <v>14</v>
      </c>
      <c r="E46" s="273" t="str">
        <f>'RACE '!D45</f>
        <v>CP-4 Dalco Pt house west end</v>
      </c>
      <c r="F46" s="260">
        <f>IF('RACE '!C45="","",'RACE '!C45)</f>
      </c>
      <c r="G46" s="274">
        <f>IF('RACE '!C45=1,'RACE '!BA$10,(IF('RACE '!C45=2,'RACE '!BA$11,(IF('RACE '!C45=3,'RACE '!BA$12,(IF('RACE '!C45=4,'RACE '!BA$13,(IF('RACE '!C45=5,'RACE '!BA$14,(IF('RACE '!C45=6,'RACE '!BA$15,(IF('RACE '!C45=7,'RACE '!BA$16,(IF('RACE '!C45=8,'RACE '!BA$17,"")))))))))))))))</f>
      </c>
      <c r="H46" s="374"/>
      <c r="I46" s="375" t="s">
        <v>77</v>
      </c>
      <c r="J46" s="376"/>
      <c r="K46" s="377"/>
      <c r="L46" s="378"/>
      <c r="M46" s="263"/>
      <c r="N46" s="264"/>
    </row>
    <row r="47" spans="1:14" s="268" customFormat="1" ht="25.5" customHeight="1" thickBot="1">
      <c r="A47" s="280"/>
      <c r="B47" s="421"/>
      <c r="C47" s="204"/>
      <c r="D47" s="172">
        <f>'RACE '!B46</f>
        <v>15</v>
      </c>
      <c r="E47" s="171" t="str">
        <f>'RACE '!D46</f>
        <v>BLIND POINT</v>
      </c>
      <c r="F47" s="316">
        <f>IF('RACE '!C46="","",'RACE '!C46)</f>
        <v>3</v>
      </c>
      <c r="G47" s="317">
        <f>IF('RACE '!C46=1,'RACE '!BA$10,(IF('RACE '!C46=2,'RACE '!BA$11,(IF('RACE '!C46=3,'RACE '!BA$12,(IF('RACE '!C46=4,'RACE '!BA$13,(IF('RACE '!C46=5,'RACE '!BA$14,(IF('RACE '!C46=6,'RACE '!BA$15,(IF('RACE '!C46=7,'RACE '!BA$16,(IF('RACE '!C46=8,'RACE '!BA$17,"")))))))))))))))</f>
        <v>0.003356489</v>
      </c>
      <c r="H47" s="324"/>
      <c r="I47" s="239"/>
      <c r="J47" s="183"/>
      <c r="K47" s="222"/>
      <c r="L47" s="182"/>
      <c r="M47" s="30"/>
      <c r="N47" s="60"/>
    </row>
    <row r="48" spans="1:14" s="323" customFormat="1" ht="25.5" customHeight="1" thickBot="1">
      <c r="A48" s="328"/>
      <c r="B48" s="361"/>
      <c r="C48" s="205"/>
      <c r="D48" s="130">
        <f>'RACE '!B47</f>
        <v>16</v>
      </c>
      <c r="E48" s="129" t="str">
        <f>'RACE '!D47</f>
        <v>Point Defiance Light</v>
      </c>
      <c r="F48" s="325">
        <f>IF('RACE '!C47="","",'RACE '!C47)</f>
      </c>
      <c r="G48" s="326">
        <f>IF('RACE '!C47=1,'RACE '!BA$10,(IF('RACE '!C47=2,'RACE '!BA$11,(IF('RACE '!C47=3,'RACE '!BA$12,(IF('RACE '!C47=4,'RACE '!BA$13,(IF('RACE '!C47=5,'RACE '!BA$14,(IF('RACE '!C47=6,'RACE '!BA$15,(IF('RACE '!C47=7,'RACE '!BA$16,(IF('RACE '!C47=8,'RACE '!BA$17,"")))))))))))))))</f>
      </c>
      <c r="H48" s="318"/>
      <c r="I48" s="238"/>
      <c r="J48" s="124"/>
      <c r="K48" s="221"/>
      <c r="L48" s="121"/>
      <c r="M48" s="67"/>
      <c r="N48" s="64"/>
    </row>
    <row r="49" spans="1:14" ht="25.5" customHeight="1" thickBot="1">
      <c r="A49" s="63"/>
      <c r="B49" s="100"/>
      <c r="C49" s="201"/>
      <c r="D49" s="325">
        <f>'RACE '!B48</f>
        <v>17</v>
      </c>
      <c r="E49" s="171" t="str">
        <f>'RACE '!D48</f>
        <v>Finish - Beach House E of GH Lighthouse</v>
      </c>
      <c r="F49" s="176">
        <f>IF('RACE '!C48="","",'RACE '!C48)</f>
      </c>
      <c r="G49" s="233">
        <f>IF('RACE '!C48=1,'RACE '!BA$10,(IF('RACE '!C48=2,'RACE '!BA$11,(IF('RACE '!C48=3,'RACE '!BA$12,(IF('RACE '!C48=4,'RACE '!BA$13,(IF('RACE '!C48=5,'RACE '!BA$14,(IF('RACE '!C48=6,'RACE '!BA$15,(IF('RACE '!C48=7,'RACE '!BA$16,(IF('RACE '!C48=8,'RACE '!BA$17,"")))))))))))))))</f>
      </c>
      <c r="H49" s="177"/>
      <c r="I49" s="106" t="s">
        <v>77</v>
      </c>
      <c r="J49" s="30"/>
      <c r="K49" s="210"/>
      <c r="L49" s="60"/>
      <c r="M49" s="30"/>
      <c r="N49" s="60"/>
    </row>
    <row r="50" spans="1:14" s="66" customFormat="1" ht="25.5" customHeight="1" thickBot="1">
      <c r="A50" s="153"/>
      <c r="B50" s="360"/>
      <c r="C50" s="200"/>
      <c r="D50" s="130">
        <f>'RACE '!B49</f>
        <v>0</v>
      </c>
      <c r="E50" s="129">
        <f>'RACE '!D49</f>
        <v>0</v>
      </c>
      <c r="F50" s="178">
        <f>IF('RACE '!C49="","",'RACE '!C49)</f>
      </c>
      <c r="G50" s="234">
        <f>IF('RACE '!C49=1,'RACE '!BA$10,(IF('RACE '!C49=2,'RACE '!BA$11,(IF('RACE '!C49=3,'RACE '!BA$12,(IF('RACE '!C49=4,'RACE '!BA$13,(IF('RACE '!C49=5,'RACE '!BA$14,(IF('RACE '!C49=6,'RACE '!BA$15,(IF('RACE '!C49=7,'RACE '!BA$16,(IF('RACE '!C49=8,'RACE '!BA$17,"")))))))))))))))</f>
      </c>
      <c r="H50" s="179"/>
      <c r="I50" s="240" t="s">
        <v>77</v>
      </c>
      <c r="J50" s="181"/>
      <c r="K50" s="223"/>
      <c r="L50" s="180"/>
      <c r="M50" s="181"/>
      <c r="N50" s="180"/>
    </row>
    <row r="51" spans="1:14" s="3" customFormat="1" ht="25.5" customHeight="1" thickBot="1">
      <c r="A51" s="63"/>
      <c r="B51" s="100"/>
      <c r="C51" s="201"/>
      <c r="D51" s="172">
        <f>'RACE '!B50</f>
        <v>0</v>
      </c>
      <c r="E51" s="171">
        <f>'RACE '!D50</f>
        <v>0</v>
      </c>
      <c r="F51" s="176">
        <f>IF('RACE '!C50="","",'RACE '!C50)</f>
      </c>
      <c r="G51" s="233">
        <f>IF('RACE '!C50=1,'RACE '!BA$10,(IF('RACE '!C50=2,'RACE '!BA$11,(IF('RACE '!C50=3,'RACE '!BA$12,(IF('RACE '!C50=4,'RACE '!BA$13,(IF('RACE '!C50=5,'RACE '!BA$14,(IF('RACE '!C50=6,'RACE '!BA$15,(IF('RACE '!C50=7,'RACE '!BA$16,(IF('RACE '!C50=8,'RACE '!BA$17,"")))))))))))))))</f>
      </c>
      <c r="H51" s="177"/>
      <c r="I51" s="106" t="s">
        <v>77</v>
      </c>
      <c r="J51" s="30" t="s">
        <v>77</v>
      </c>
      <c r="K51" s="210"/>
      <c r="L51" s="60"/>
      <c r="M51" s="30"/>
      <c r="N51" s="60"/>
    </row>
    <row r="52" spans="1:14" s="66" customFormat="1" ht="25.5" customHeight="1" thickBot="1">
      <c r="A52" s="153"/>
      <c r="B52" s="360"/>
      <c r="C52" s="202"/>
      <c r="D52" s="130">
        <f>'RACE '!B51</f>
        <v>0</v>
      </c>
      <c r="E52" s="129">
        <f>'RACE '!D51</f>
        <v>0</v>
      </c>
      <c r="F52" s="178">
        <f>IF('RACE '!C51="","",'RACE '!C51)</f>
      </c>
      <c r="G52" s="234">
        <f>IF('RACE '!C51=1,'RACE '!BA$10,(IF('RACE '!C51=2,'RACE '!BA$11,(IF('RACE '!C51=3,'RACE '!BA$12,(IF('RACE '!C51=4,'RACE '!BA$13,(IF('RACE '!C51=5,'RACE '!BA$14,(IF('RACE '!C51=6,'RACE '!BA$15,(IF('RACE '!C51=7,'RACE '!BA$16,(IF('RACE '!C51=8,'RACE '!BA$17,"")))))))))))))))</f>
      </c>
      <c r="H52" s="179"/>
      <c r="I52" s="241" t="s">
        <v>77</v>
      </c>
      <c r="J52" s="67" t="s">
        <v>77</v>
      </c>
      <c r="K52" s="224"/>
      <c r="L52" s="64"/>
      <c r="M52" s="67"/>
      <c r="N52" s="64"/>
    </row>
    <row r="53" spans="1:14" s="3" customFormat="1" ht="25.5" customHeight="1" thickBot="1">
      <c r="A53" s="63"/>
      <c r="B53" s="100"/>
      <c r="C53" s="203"/>
      <c r="D53" s="172">
        <f>'RACE '!B52</f>
        <v>0</v>
      </c>
      <c r="E53" s="171">
        <f>'RACE '!D52</f>
        <v>0</v>
      </c>
      <c r="F53" s="176">
        <f>IF('RACE '!C52="","",'RACE '!C52)</f>
      </c>
      <c r="G53" s="233">
        <f>IF('RACE '!C52=1,'RACE '!BA$10,(IF('RACE '!C52=2,'RACE '!BA$11,(IF('RACE '!C52=3,'RACE '!BA$12,(IF('RACE '!C52=4,'RACE '!BA$13,(IF('RACE '!C52=5,'RACE '!BA$14,(IF('RACE '!C52=6,'RACE '!BA$15,(IF('RACE '!C52=7,'RACE '!BA$16,(IF('RACE '!C52=8,'RACE '!BA$17,"")))))))))))))))</f>
      </c>
      <c r="H53" s="177"/>
      <c r="I53" s="106"/>
      <c r="J53" s="30"/>
      <c r="K53" s="210"/>
      <c r="L53" s="60"/>
      <c r="M53" s="30"/>
      <c r="N53" s="60"/>
    </row>
    <row r="54" spans="1:14" s="66" customFormat="1" ht="25.5" customHeight="1" thickBot="1">
      <c r="A54" s="153"/>
      <c r="B54" s="360"/>
      <c r="C54" s="202"/>
      <c r="D54" s="130">
        <f>'RACE '!B53</f>
        <v>0</v>
      </c>
      <c r="E54" s="129">
        <f>'RACE '!D53</f>
        <v>0</v>
      </c>
      <c r="F54" s="178">
        <f>IF('RACE '!C53="","",'RACE '!C53)</f>
      </c>
      <c r="G54" s="234">
        <f>IF('RACE '!C53=1,'RACE '!BA$10,(IF('RACE '!C53=2,'RACE '!BA$11,(IF('RACE '!C53=3,'RACE '!BA$12,(IF('RACE '!C53=4,'RACE '!BA$13,(IF('RACE '!C53=5,'RACE '!BA$14,(IF('RACE '!C53=6,'RACE '!BA$15,(IF('RACE '!C53=7,'RACE '!BA$16,(IF('RACE '!C53=8,'RACE '!BA$17,"")))))))))))))))</f>
      </c>
      <c r="H54" s="179"/>
      <c r="I54" s="241"/>
      <c r="J54" s="67"/>
      <c r="K54" s="224"/>
      <c r="L54" s="64"/>
      <c r="M54" s="67"/>
      <c r="N54" s="64"/>
    </row>
    <row r="55" spans="1:14" s="265" customFormat="1" ht="25.5" customHeight="1" thickBot="1">
      <c r="A55" s="327"/>
      <c r="B55" s="362"/>
      <c r="C55" s="260" t="str">
        <f>'RACE '!A54</f>
        <v>5</v>
      </c>
      <c r="D55" s="272">
        <f>'RACE '!B54</f>
        <v>17</v>
      </c>
      <c r="E55" s="273" t="str">
        <f>'RACE '!D54</f>
        <v>Finish - Beach House E of GH Lighthouse</v>
      </c>
      <c r="F55" s="260">
        <f>IF('RACE '!C54="","",'RACE '!C54)</f>
      </c>
      <c r="G55" s="274">
        <f>IF('RACE '!C54=1,'RACE '!BA$10,(IF('RACE '!C54=2,'RACE '!BA$11,(IF('RACE '!C54=3,'RACE '!BA$12,(IF('RACE '!C54=4,'RACE '!BA$13,(IF('RACE '!C54=5,'RACE '!BA$14,(IF('RACE '!C54=6,'RACE '!BA$15,(IF('RACE '!C54=7,'RACE '!BA$16,(IF('RACE '!C54=8,'RACE '!BA$17,"")))))))))))))))</f>
      </c>
      <c r="H55" s="374"/>
      <c r="I55" s="375" t="s">
        <v>77</v>
      </c>
      <c r="J55" s="376"/>
      <c r="K55" s="377"/>
      <c r="L55" s="378"/>
      <c r="M55" s="263"/>
      <c r="N55" s="264"/>
    </row>
    <row r="56" spans="1:14" s="3" customFormat="1" ht="25.5" customHeight="1" thickBot="1">
      <c r="A56" s="63"/>
      <c r="C56" s="204"/>
      <c r="D56" s="172">
        <f>'RACE '!B55</f>
        <v>0</v>
      </c>
      <c r="E56" s="171">
        <f>'RACE '!D55</f>
        <v>0</v>
      </c>
      <c r="F56" s="176">
        <f>IF('RACE '!C55="","",'RACE '!C55)</f>
      </c>
      <c r="G56" s="233">
        <f>IF('RACE '!C55=1,'RACE '!BA$10,(IF('RACE '!C55=2,'RACE '!BA$11,(IF('RACE '!C55=3,'RACE '!BA$12,(IF('RACE '!C55=4,'RACE '!BA$13,(IF('RACE '!C55=5,'RACE '!BA$14,(IF('RACE '!C55=6,'RACE '!BA$15,(IF('RACE '!C55=7,'RACE '!BA$16,(IF('RACE '!C55=8,'RACE '!BA$17,"")))))))))))))))</f>
      </c>
      <c r="H56" s="177"/>
      <c r="I56" s="239"/>
      <c r="J56" s="183"/>
      <c r="K56" s="222"/>
      <c r="L56" s="182"/>
      <c r="M56" s="30"/>
      <c r="N56" s="60"/>
    </row>
    <row r="57" spans="1:14" s="66" customFormat="1" ht="25.5" customHeight="1" thickBot="1">
      <c r="A57" s="153"/>
      <c r="C57" s="205"/>
      <c r="D57" s="130">
        <f>'RACE '!B56</f>
        <v>0</v>
      </c>
      <c r="E57" s="129">
        <f>'RACE '!D56</f>
        <v>0</v>
      </c>
      <c r="F57" s="178">
        <f>IF('RACE '!C56="","",'RACE '!C56)</f>
      </c>
      <c r="G57" s="234">
        <f>IF('RACE '!C56=1,'RACE '!BA$10,(IF('RACE '!C56=2,'RACE '!BA$11,(IF('RACE '!C56=3,'RACE '!BA$12,(IF('RACE '!C56=4,'RACE '!BA$13,(IF('RACE '!C56=5,'RACE '!BA$14,(IF('RACE '!C56=6,'RACE '!BA$15,(IF('RACE '!C56=7,'RACE '!BA$16,(IF('RACE '!C56=8,'RACE '!BA$17,"")))))))))))))))</f>
      </c>
      <c r="H57" s="179"/>
      <c r="I57" s="238"/>
      <c r="J57" s="124"/>
      <c r="K57" s="221"/>
      <c r="L57" s="121"/>
      <c r="M57" s="67"/>
      <c r="N57" s="64"/>
    </row>
    <row r="58" spans="1:14" s="509" customFormat="1" ht="25.5" customHeight="1" thickBot="1">
      <c r="A58" s="508"/>
      <c r="C58" s="86"/>
      <c r="D58" s="510">
        <f>'RACE '!B57</f>
        <v>0</v>
      </c>
      <c r="E58" s="511">
        <f>'RACE '!D57</f>
        <v>0</v>
      </c>
      <c r="F58" s="387">
        <f>IF('RACE '!C57="","",'RACE '!C57)</f>
      </c>
      <c r="G58" s="388">
        <f>IF('RACE '!C57=1,'RACE '!BA$10,(IF('RACE '!C57=2,'RACE '!BA$11,(IF('RACE '!C57=3,'RACE '!BA$12,(IF('RACE '!C57=4,'RACE '!BA$13,(IF('RACE '!C57=5,'RACE '!BA$14,(IF('RACE '!C57=6,'RACE '!BA$15,(IF('RACE '!C57=7,'RACE '!BA$16,(IF('RACE '!C57=8,'RACE '!BA$17,"")))))))))))))))</f>
      </c>
      <c r="H58" s="389"/>
      <c r="I58" s="512" t="s">
        <v>77</v>
      </c>
      <c r="J58" s="513"/>
      <c r="K58" s="514"/>
      <c r="L58" s="515"/>
      <c r="M58" s="513"/>
      <c r="N58" s="515"/>
    </row>
    <row r="59" spans="1:14" s="395" customFormat="1" ht="25.5" customHeight="1" thickBot="1">
      <c r="A59" s="394"/>
      <c r="C59" s="396"/>
      <c r="D59" s="416">
        <f>'RACE '!B58</f>
        <v>0</v>
      </c>
      <c r="E59" s="420">
        <f>'RACE '!D58</f>
        <v>0</v>
      </c>
      <c r="F59" s="397">
        <f>IF('RACE '!C58="","",'RACE '!C58)</f>
      </c>
      <c r="G59" s="398">
        <f>IF('RACE '!C58=1,'RACE '!BA$10,(IF('RACE '!C58=2,'RACE '!BA$11,(IF('RACE '!C58=3,'RACE '!BA$12,(IF('RACE '!C58=4,'RACE '!BA$13,(IF('RACE '!C58=5,'RACE '!BA$14,(IF('RACE '!C58=6,'RACE '!BA$15,(IF('RACE '!C58=7,'RACE '!BA$16,(IF('RACE '!C58=8,'RACE '!BA$17,"")))))))))))))))</f>
      </c>
      <c r="H59" s="399"/>
      <c r="I59" s="400" t="s">
        <v>77</v>
      </c>
      <c r="J59" s="401"/>
      <c r="K59" s="402"/>
      <c r="L59" s="397"/>
      <c r="M59" s="401"/>
      <c r="N59" s="397"/>
    </row>
    <row r="60" spans="1:14" s="3" customFormat="1" ht="25.5" customHeight="1" thickBot="1">
      <c r="A60" s="63"/>
      <c r="C60" s="201"/>
      <c r="D60" s="172">
        <f>'RACE '!B59</f>
        <v>0</v>
      </c>
      <c r="E60" s="171">
        <f>'RACE '!D59</f>
        <v>0</v>
      </c>
      <c r="F60" s="176">
        <f>IF('RACE '!C59="","",'RACE '!C59)</f>
      </c>
      <c r="G60" s="233">
        <f>IF('RACE '!C59=1,'RACE '!BA$10,(IF('RACE '!C59=2,'RACE '!BA$11,(IF('RACE '!C59=3,'RACE '!BA$12,(IF('RACE '!C59=4,'RACE '!BA$13,(IF('RACE '!C59=5,'RACE '!BA$14,(IF('RACE '!C59=6,'RACE '!BA$15,(IF('RACE '!C59=7,'RACE '!BA$16,(IF('RACE '!C59=8,'RACE '!BA$17,"")))))))))))))))</f>
      </c>
      <c r="H60" s="177"/>
      <c r="I60" s="106" t="s">
        <v>77</v>
      </c>
      <c r="J60" s="30" t="s">
        <v>77</v>
      </c>
      <c r="K60" s="210"/>
      <c r="L60" s="60"/>
      <c r="M60" s="30"/>
      <c r="N60" s="60"/>
    </row>
    <row r="61" spans="1:14" s="66" customFormat="1" ht="25.5" customHeight="1" thickBot="1">
      <c r="A61" s="153"/>
      <c r="C61" s="202"/>
      <c r="D61" s="130">
        <f>'RACE '!B60</f>
        <v>0</v>
      </c>
      <c r="E61" s="129">
        <f>'RACE '!D60</f>
        <v>0</v>
      </c>
      <c r="F61" s="178">
        <f>IF('RACE '!C60="","",'RACE '!C60)</f>
      </c>
      <c r="G61" s="234">
        <f>IF('RACE '!C60=1,'RACE '!BA$10,(IF('RACE '!C60=2,'RACE '!BA$11,(IF('RACE '!C60=3,'RACE '!BA$12,(IF('RACE '!C60=4,'RACE '!BA$13,(IF('RACE '!C60=5,'RACE '!BA$14,(IF('RACE '!C60=6,'RACE '!BA$15,(IF('RACE '!C60=7,'RACE '!BA$16,(IF('RACE '!C60=8,'RACE '!BA$17,"")))))))))))))))</f>
      </c>
      <c r="H61" s="179"/>
      <c r="I61" s="241" t="s">
        <v>77</v>
      </c>
      <c r="J61" s="67" t="s">
        <v>77</v>
      </c>
      <c r="K61" s="224"/>
      <c r="L61" s="64"/>
      <c r="M61" s="67"/>
      <c r="N61" s="64"/>
    </row>
    <row r="62" spans="1:14" s="3" customFormat="1" ht="25.5" customHeight="1" thickBot="1">
      <c r="A62" s="63"/>
      <c r="C62" s="203"/>
      <c r="D62" s="172">
        <f>'RACE '!B61</f>
        <v>0</v>
      </c>
      <c r="E62" s="171">
        <f>'RACE '!D61</f>
        <v>0</v>
      </c>
      <c r="F62" s="176">
        <f>IF('RACE '!C61="","",'RACE '!C61)</f>
      </c>
      <c r="G62" s="233">
        <f>IF('RACE '!C61=1,'RACE '!BA$10,(IF('RACE '!C61=2,'RACE '!BA$11,(IF('RACE '!C61=3,'RACE '!BA$12,(IF('RACE '!C61=4,'RACE '!BA$13,(IF('RACE '!C61=5,'RACE '!BA$14,(IF('RACE '!C61=6,'RACE '!BA$15,(IF('RACE '!C61=7,'RACE '!BA$16,(IF('RACE '!C61=8,'RACE '!BA$17,"")))))))))))))))</f>
      </c>
      <c r="H62" s="177"/>
      <c r="I62" s="106"/>
      <c r="J62" s="30"/>
      <c r="K62" s="210"/>
      <c r="L62" s="60"/>
      <c r="M62" s="30"/>
      <c r="N62" s="60"/>
    </row>
    <row r="63" spans="1:14" s="66" customFormat="1" ht="25.5" customHeight="1" thickBot="1">
      <c r="A63" s="153"/>
      <c r="C63" s="202"/>
      <c r="D63" s="130">
        <f>'RACE '!B62</f>
        <v>0</v>
      </c>
      <c r="E63" s="129">
        <f>'RACE '!D62</f>
        <v>0</v>
      </c>
      <c r="F63" s="178">
        <f>IF('RACE '!C62="","",'RACE '!C62)</f>
      </c>
      <c r="G63" s="234">
        <f>IF('RACE '!C62=1,'RACE '!BA$10,(IF('RACE '!C62=2,'RACE '!BA$11,(IF('RACE '!C62=3,'RACE '!BA$12,(IF('RACE '!C62=4,'RACE '!BA$13,(IF('RACE '!C62=5,'RACE '!BA$14,(IF('RACE '!C62=6,'RACE '!BA$15,(IF('RACE '!C62=7,'RACE '!BA$16,(IF('RACE '!C62=8,'RACE '!BA$17,"")))))))))))))))</f>
      </c>
      <c r="H63" s="179"/>
      <c r="I63" s="241"/>
      <c r="J63" s="67"/>
      <c r="K63" s="224"/>
      <c r="L63" s="64"/>
      <c r="M63" s="67"/>
      <c r="N63" s="64"/>
    </row>
    <row r="64" spans="1:14" s="265" customFormat="1" ht="25.5" customHeight="1" thickBot="1">
      <c r="A64" s="327"/>
      <c r="B64" s="362"/>
      <c r="C64" s="260">
        <f>'RACE '!A63</f>
        <v>6</v>
      </c>
      <c r="D64" s="272">
        <f>'RACE '!B63</f>
      </c>
      <c r="E64" s="260">
        <f>'RACE '!D63</f>
      </c>
      <c r="F64" s="260">
        <f>IF('RACE '!C63="","",'RACE '!C63)</f>
      </c>
      <c r="G64" s="274">
        <f>IF('RACE '!C63=1,'RACE '!BA$10,(IF('RACE '!C63=2,'RACE '!BA$11,(IF('RACE '!C63=3,'RACE '!BA$12,(IF('RACE '!C63=4,'RACE '!BA$13,(IF('RACE '!C63=5,'RACE '!BA$14,(IF('RACE '!C63=6,'RACE '!BA$15,(IF('RACE '!C63=7,'RACE '!BA$16,(IF('RACE '!C63=8,'RACE '!BA$17,"")))))))))))))))</f>
      </c>
      <c r="H64" s="179"/>
      <c r="I64" s="375" t="s">
        <v>77</v>
      </c>
      <c r="J64" s="376"/>
      <c r="K64" s="377"/>
      <c r="L64" s="378"/>
      <c r="M64" s="263"/>
      <c r="N64" s="264"/>
    </row>
    <row r="65" spans="1:14" s="3" customFormat="1" ht="25.5" customHeight="1" thickBot="1">
      <c r="A65" s="63"/>
      <c r="B65" s="100"/>
      <c r="C65" s="204"/>
      <c r="D65" s="172">
        <f>'RACE '!B64</f>
        <v>0</v>
      </c>
      <c r="E65" s="316">
        <f>'RACE '!D64</f>
        <v>0</v>
      </c>
      <c r="F65" s="176">
        <f>IF('RACE '!C64="","",'RACE '!C64)</f>
      </c>
      <c r="G65" s="233">
        <f>IF('RACE '!C64=1,'RACE '!BA$10,(IF('RACE '!C64=2,'RACE '!BA$11,(IF('RACE '!C64=3,'RACE '!BA$12,(IF('RACE '!C64=4,'RACE '!BA$13,(IF('RACE '!C64=5,'RACE '!BA$14,(IF('RACE '!C64=6,'RACE '!BA$15,(IF('RACE '!C64=7,'RACE '!BA$16,(IF('RACE '!C64=8,'RACE '!BA$17,"")))))))))))))))</f>
      </c>
      <c r="H65" s="357"/>
      <c r="I65" s="239"/>
      <c r="J65" s="358"/>
      <c r="K65" s="222"/>
      <c r="L65" s="358"/>
      <c r="M65" s="30"/>
      <c r="N65" s="359"/>
    </row>
    <row r="66" spans="1:14" s="66" customFormat="1" ht="25.5" customHeight="1" thickBot="1">
      <c r="A66" s="153"/>
      <c r="B66" s="360"/>
      <c r="C66" s="205"/>
      <c r="D66" s="130">
        <f>'RACE '!B65</f>
        <v>0</v>
      </c>
      <c r="E66" s="325">
        <f>'RACE '!D65</f>
        <v>0</v>
      </c>
      <c r="F66" s="178">
        <f>IF('RACE '!C65="","",'RACE '!C65)</f>
      </c>
      <c r="G66" s="234">
        <f>IF('RACE '!C65=1,'RACE '!BA$10,(IF('RACE '!C65=2,'RACE '!BA$11,(IF('RACE '!C65=3,'RACE '!BA$12,(IF('RACE '!C65=4,'RACE '!BA$13,(IF('RACE '!C65=5,'RACE '!BA$14,(IF('RACE '!C65=6,'RACE '!BA$15,(IF('RACE '!C65=7,'RACE '!BA$16,(IF('RACE '!C65=8,'RACE '!BA$17,"")))))))))))))))</f>
      </c>
      <c r="H66" s="179"/>
      <c r="I66" s="238"/>
      <c r="J66" s="121"/>
      <c r="K66" s="221"/>
      <c r="L66" s="121"/>
      <c r="M66" s="67"/>
      <c r="N66" s="64"/>
    </row>
    <row r="67" spans="1:14" ht="25.5" customHeight="1" thickBot="1">
      <c r="A67" s="63"/>
      <c r="B67" s="100"/>
      <c r="C67" s="201"/>
      <c r="D67" s="172">
        <f>'RACE '!B66</f>
        <v>0</v>
      </c>
      <c r="E67" s="316">
        <f>'RACE '!D66</f>
        <v>0</v>
      </c>
      <c r="F67" s="176">
        <f>IF('RACE '!C66="","",'RACE '!C66)</f>
      </c>
      <c r="G67" s="233">
        <f>IF('RACE '!C66=1,'RACE '!BA$10,(IF('RACE '!C66=2,'RACE '!BA$11,(IF('RACE '!C66=3,'RACE '!BA$12,(IF('RACE '!C66=4,'RACE '!BA$13,(IF('RACE '!C66=5,'RACE '!BA$14,(IF('RACE '!C66=6,'RACE '!BA$15,(IF('RACE '!C66=7,'RACE '!BA$16,(IF('RACE '!C66=8,'RACE '!BA$17,"")))))))))))))))</f>
      </c>
      <c r="H67" s="177"/>
      <c r="I67" s="106" t="s">
        <v>77</v>
      </c>
      <c r="J67" s="60"/>
      <c r="K67" s="210"/>
      <c r="L67" s="60"/>
      <c r="M67" s="30"/>
      <c r="N67" s="60"/>
    </row>
    <row r="68" spans="1:14" s="66" customFormat="1" ht="25.5" customHeight="1" thickBot="1">
      <c r="A68" s="153"/>
      <c r="B68" s="360"/>
      <c r="C68" s="200"/>
      <c r="D68" s="130">
        <f>'RACE '!B67</f>
        <v>0</v>
      </c>
      <c r="E68" s="325">
        <f>'RACE '!D67</f>
        <v>0</v>
      </c>
      <c r="F68" s="178">
        <f>IF('RACE '!C67="","",'RACE '!C67)</f>
      </c>
      <c r="G68" s="234">
        <f>IF('RACE '!C67=1,'RACE '!BA$10,(IF('RACE '!C67=2,'RACE '!BA$11,(IF('RACE '!C67=3,'RACE '!BA$12,(IF('RACE '!C67=4,'RACE '!BA$13,(IF('RACE '!C67=5,'RACE '!BA$14,(IF('RACE '!C67=6,'RACE '!BA$15,(IF('RACE '!C67=7,'RACE '!BA$16,(IF('RACE '!C67=8,'RACE '!BA$17,"")))))))))))))))</f>
      </c>
      <c r="H68" s="179"/>
      <c r="I68" s="240" t="s">
        <v>77</v>
      </c>
      <c r="J68" s="180"/>
      <c r="K68" s="223"/>
      <c r="L68" s="180"/>
      <c r="M68" s="181"/>
      <c r="N68" s="180"/>
    </row>
    <row r="69" spans="1:14" s="3" customFormat="1" ht="25.5" customHeight="1" thickBot="1">
      <c r="A69" s="63"/>
      <c r="B69" s="100"/>
      <c r="C69" s="201"/>
      <c r="D69" s="172">
        <f>'RACE '!B68</f>
        <v>0</v>
      </c>
      <c r="E69" s="316">
        <f>'RACE '!D68</f>
        <v>0</v>
      </c>
      <c r="F69" s="176">
        <f>IF('RACE '!C68="","",'RACE '!C68)</f>
      </c>
      <c r="G69" s="233">
        <f>IF('RACE '!C68=1,'RACE '!BA$10,(IF('RACE '!C68=2,'RACE '!BA$11,(IF('RACE '!C68=3,'RACE '!BA$12,(IF('RACE '!C68=4,'RACE '!BA$13,(IF('RACE '!C68=5,'RACE '!BA$14,(IF('RACE '!C68=6,'RACE '!BA$15,(IF('RACE '!C68=7,'RACE '!BA$16,(IF('RACE '!C68=8,'RACE '!BA$17,"")))))))))))))))</f>
      </c>
      <c r="H69" s="177"/>
      <c r="I69" s="106" t="s">
        <v>77</v>
      </c>
      <c r="J69" s="60" t="s">
        <v>77</v>
      </c>
      <c r="K69" s="210"/>
      <c r="L69" s="60"/>
      <c r="M69" s="30"/>
      <c r="N69" s="60"/>
    </row>
    <row r="70" spans="1:14" s="66" customFormat="1" ht="25.5" customHeight="1" thickBot="1">
      <c r="A70" s="153"/>
      <c r="B70" s="360"/>
      <c r="C70" s="202"/>
      <c r="D70" s="130">
        <f>'RACE '!B69</f>
        <v>0</v>
      </c>
      <c r="E70" s="325">
        <f>'RACE '!D69</f>
        <v>0</v>
      </c>
      <c r="F70" s="178">
        <f>IF('RACE '!C69="","",'RACE '!C69)</f>
      </c>
      <c r="G70" s="234">
        <f>IF('RACE '!C69=1,'RACE '!BA$10,(IF('RACE '!C69=2,'RACE '!BA$11,(IF('RACE '!C69=3,'RACE '!BA$12,(IF('RACE '!C69=4,'RACE '!BA$13,(IF('RACE '!C69=5,'RACE '!BA$14,(IF('RACE '!C69=6,'RACE '!BA$15,(IF('RACE '!C69=7,'RACE '!BA$16,(IF('RACE '!C69=8,'RACE '!BA$17,"")))))))))))))))</f>
      </c>
      <c r="H70" s="179"/>
      <c r="I70" s="241" t="s">
        <v>77</v>
      </c>
      <c r="J70" s="64" t="s">
        <v>77</v>
      </c>
      <c r="K70" s="224"/>
      <c r="L70" s="64"/>
      <c r="M70" s="67"/>
      <c r="N70" s="64"/>
    </row>
    <row r="71" spans="1:14" s="3" customFormat="1" ht="25.5" customHeight="1" thickBot="1">
      <c r="A71" s="63"/>
      <c r="B71" s="100"/>
      <c r="C71" s="203"/>
      <c r="D71" s="172">
        <f>'RACE '!B70</f>
        <v>0</v>
      </c>
      <c r="E71" s="316">
        <f>'RACE '!D70</f>
        <v>0</v>
      </c>
      <c r="F71" s="176">
        <f>IF('RACE '!C70="","",'RACE '!C70)</f>
      </c>
      <c r="G71" s="233">
        <f>IF('RACE '!C70=1,'RACE '!BA$10,(IF('RACE '!C70=2,'RACE '!BA$11,(IF('RACE '!C70=3,'RACE '!BA$12,(IF('RACE '!C70=4,'RACE '!BA$13,(IF('RACE '!C70=5,'RACE '!BA$14,(IF('RACE '!C70=6,'RACE '!BA$15,(IF('RACE '!C70=7,'RACE '!BA$16,(IF('RACE '!C70=8,'RACE '!BA$17,"")))))))))))))))</f>
      </c>
      <c r="H71" s="177"/>
      <c r="I71" s="106"/>
      <c r="J71" s="60"/>
      <c r="K71" s="210"/>
      <c r="L71" s="60"/>
      <c r="M71" s="30"/>
      <c r="N71" s="60"/>
    </row>
    <row r="72" spans="1:14" s="66" customFormat="1" ht="25.5" customHeight="1" thickBot="1">
      <c r="A72" s="153"/>
      <c r="B72" s="360"/>
      <c r="C72" s="202"/>
      <c r="D72" s="130">
        <f>'RACE '!B71</f>
        <v>0</v>
      </c>
      <c r="E72" s="325">
        <f>'RACE '!D71</f>
        <v>0</v>
      </c>
      <c r="F72" s="178">
        <f>IF('RACE '!C71="","",'RACE '!C71)</f>
      </c>
      <c r="G72" s="234">
        <f>IF('RACE '!C71=1,'RACE '!BA$10,(IF('RACE '!C71=2,'RACE '!BA$11,(IF('RACE '!C71=3,'RACE '!BA$12,(IF('RACE '!C71=4,'RACE '!BA$13,(IF('RACE '!C71=5,'RACE '!BA$14,(IF('RACE '!C71=6,'RACE '!BA$15,(IF('RACE '!C71=7,'RACE '!BA$16,(IF('RACE '!C71=8,'RACE '!BA$17,"")))))))))))))))</f>
      </c>
      <c r="H72" s="179"/>
      <c r="I72" s="241"/>
      <c r="J72" s="64"/>
      <c r="K72" s="224"/>
      <c r="L72" s="64"/>
      <c r="M72" s="67"/>
      <c r="N72" s="64"/>
    </row>
    <row r="73" spans="1:14" s="265" customFormat="1" ht="25.5" customHeight="1" thickBot="1">
      <c r="A73" s="327"/>
      <c r="B73" s="362"/>
      <c r="C73" s="260">
        <f>'RACE '!A72</f>
        <v>7</v>
      </c>
      <c r="D73" s="272">
        <f>'RACE '!B72</f>
      </c>
      <c r="E73" s="260">
        <f>'RACE '!D72</f>
      </c>
      <c r="F73" s="260">
        <f>IF('RACE '!C72="","",'RACE '!C72)</f>
      </c>
      <c r="G73" s="274">
        <f>IF('RACE '!C72=1,'RACE '!BA$10,(IF('RACE '!C72=2,'RACE '!BA$11,(IF('RACE '!C72=3,'RACE '!BA$12,(IF('RACE '!C72=4,'RACE '!BA$13,(IF('RACE '!C72=5,'RACE '!BA$14,(IF('RACE '!C72=6,'RACE '!BA$15,(IF('RACE '!C72=7,'RACE '!BA$16,(IF('RACE '!C72=8,'RACE '!BA$17,"")))))))))))))))</f>
      </c>
      <c r="H73" s="179"/>
      <c r="I73" s="375" t="s">
        <v>77</v>
      </c>
      <c r="J73" s="378"/>
      <c r="K73" s="377"/>
      <c r="L73" s="378"/>
      <c r="M73" s="263"/>
      <c r="N73" s="264"/>
    </row>
    <row r="74" spans="3:14" s="3" customFormat="1" ht="25.5" customHeight="1" thickBot="1">
      <c r="C74" s="204"/>
      <c r="D74" s="172">
        <f>'RACE '!B73</f>
        <v>0</v>
      </c>
      <c r="E74" s="171">
        <f>'RACE '!D73</f>
        <v>0</v>
      </c>
      <c r="F74" s="176">
        <f>IF('RACE '!C73="","",'RACE '!C73)</f>
      </c>
      <c r="G74" s="233">
        <f>IF('RACE '!C73=1,'RACE '!BA$10,(IF('RACE '!C73=2,'RACE '!BA$11,(IF('RACE '!C73=3,'RACE '!BA$12,(IF('RACE '!C73=4,'RACE '!BA$13,(IF('RACE '!C73=5,'RACE '!BA$14,(IF('RACE '!C73=6,'RACE '!BA$15,(IF('RACE '!C73=7,'RACE '!BA$16,(IF('RACE '!C73=8,'RACE '!BA$17,"")))))))))))))))</f>
      </c>
      <c r="H74" s="177"/>
      <c r="I74" s="239"/>
      <c r="J74" s="183"/>
      <c r="K74" s="222"/>
      <c r="L74" s="182"/>
      <c r="M74" s="30"/>
      <c r="N74" s="60"/>
    </row>
    <row r="75" spans="3:14" s="66" customFormat="1" ht="25.5" customHeight="1" thickBot="1">
      <c r="C75" s="205"/>
      <c r="D75" s="130">
        <f>'RACE '!B74</f>
        <v>0</v>
      </c>
      <c r="E75" s="129">
        <f>'RACE '!D74</f>
        <v>0</v>
      </c>
      <c r="F75" s="178">
        <f>IF('RACE '!C74="","",'RACE '!C74)</f>
      </c>
      <c r="G75" s="234">
        <f>IF('RACE '!C74=1,'RACE '!BA$10,(IF('RACE '!C74=2,'RACE '!BA$11,(IF('RACE '!C74=3,'RACE '!BA$12,(IF('RACE '!C74=4,'RACE '!BA$13,(IF('RACE '!C74=5,'RACE '!BA$14,(IF('RACE '!C74=6,'RACE '!BA$15,(IF('RACE '!C74=7,'RACE '!BA$16,(IF('RACE '!C74=8,'RACE '!BA$17,"")))))))))))))))</f>
      </c>
      <c r="H75" s="179"/>
      <c r="I75" s="238"/>
      <c r="J75" s="124"/>
      <c r="K75" s="221"/>
      <c r="L75" s="121"/>
      <c r="M75" s="67"/>
      <c r="N75" s="64"/>
    </row>
    <row r="76" spans="3:14" ht="25.5" customHeight="1" thickBot="1">
      <c r="C76" s="201"/>
      <c r="D76" s="172">
        <f>'RACE '!B75</f>
        <v>0</v>
      </c>
      <c r="E76" s="171">
        <f>'RACE '!D75</f>
        <v>0</v>
      </c>
      <c r="F76" s="176">
        <f>IF('RACE '!C75="","",'RACE '!C75)</f>
      </c>
      <c r="G76" s="233">
        <f>IF('RACE '!C75=1,'RACE '!BA$10,(IF('RACE '!C75=2,'RACE '!BA$11,(IF('RACE '!C75=3,'RACE '!BA$12,(IF('RACE '!C75=4,'RACE '!BA$13,(IF('RACE '!C75=5,'RACE '!BA$14,(IF('RACE '!C75=6,'RACE '!BA$15,(IF('RACE '!C75=7,'RACE '!BA$16,(IF('RACE '!C75=8,'RACE '!BA$17,"")))))))))))))))</f>
      </c>
      <c r="H76" s="177"/>
      <c r="I76" s="106" t="s">
        <v>77</v>
      </c>
      <c r="J76" s="30"/>
      <c r="K76" s="210"/>
      <c r="L76" s="60"/>
      <c r="M76" s="30"/>
      <c r="N76" s="60"/>
    </row>
    <row r="77" spans="3:14" s="66" customFormat="1" ht="25.5" customHeight="1" thickBot="1">
      <c r="C77" s="200"/>
      <c r="D77" s="130">
        <f>'RACE '!B76</f>
        <v>0</v>
      </c>
      <c r="E77" s="129">
        <f>'RACE '!D76</f>
        <v>0</v>
      </c>
      <c r="F77" s="178">
        <f>IF('RACE '!C76="","",'RACE '!C76)</f>
      </c>
      <c r="G77" s="234">
        <f>IF('RACE '!C76=1,'RACE '!BA$10,(IF('RACE '!C76=2,'RACE '!BA$11,(IF('RACE '!C76=3,'RACE '!BA$12,(IF('RACE '!C76=4,'RACE '!BA$13,(IF('RACE '!C76=5,'RACE '!BA$14,(IF('RACE '!C76=6,'RACE '!BA$15,(IF('RACE '!C76=7,'RACE '!BA$16,(IF('RACE '!C76=8,'RACE '!BA$17,"")))))))))))))))</f>
      </c>
      <c r="H77" s="179"/>
      <c r="I77" s="240" t="s">
        <v>77</v>
      </c>
      <c r="J77" s="181"/>
      <c r="K77" s="223"/>
      <c r="L77" s="180"/>
      <c r="M77" s="181"/>
      <c r="N77" s="180"/>
    </row>
    <row r="78" spans="3:14" s="3" customFormat="1" ht="25.5" customHeight="1" thickBot="1">
      <c r="C78" s="201"/>
      <c r="D78" s="172">
        <f>'RACE '!B77</f>
        <v>0</v>
      </c>
      <c r="E78" s="171">
        <f>'RACE '!D77</f>
        <v>0</v>
      </c>
      <c r="F78" s="176">
        <f>IF('RACE '!C77="","",'RACE '!C77)</f>
      </c>
      <c r="G78" s="233">
        <f>IF('RACE '!C77=1,'RACE '!BA$10,(IF('RACE '!C77=2,'RACE '!BA$11,(IF('RACE '!C77=3,'RACE '!BA$12,(IF('RACE '!C77=4,'RACE '!BA$13,(IF('RACE '!C77=5,'RACE '!BA$14,(IF('RACE '!C77=6,'RACE '!BA$15,(IF('RACE '!C77=7,'RACE '!BA$16,(IF('RACE '!C77=8,'RACE '!BA$17,"")))))))))))))))</f>
      </c>
      <c r="H78" s="177"/>
      <c r="I78" s="106" t="s">
        <v>77</v>
      </c>
      <c r="J78" s="30" t="s">
        <v>77</v>
      </c>
      <c r="K78" s="210"/>
      <c r="L78" s="60"/>
      <c r="M78" s="30"/>
      <c r="N78" s="60"/>
    </row>
    <row r="79" spans="3:14" s="66" customFormat="1" ht="25.5" customHeight="1" thickBot="1">
      <c r="C79" s="202"/>
      <c r="D79" s="130">
        <f>'RACE '!B78</f>
        <v>0</v>
      </c>
      <c r="E79" s="129">
        <f>'RACE '!D78</f>
        <v>0</v>
      </c>
      <c r="F79" s="178">
        <f>IF('RACE '!C78="","",'RACE '!C78)</f>
      </c>
      <c r="G79" s="234">
        <f>IF('RACE '!C78=1,'RACE '!BA$10,(IF('RACE '!C78=2,'RACE '!BA$11,(IF('RACE '!C78=3,'RACE '!BA$12,(IF('RACE '!C78=4,'RACE '!BA$13,(IF('RACE '!C78=5,'RACE '!BA$14,(IF('RACE '!C78=6,'RACE '!BA$15,(IF('RACE '!C78=7,'RACE '!BA$16,(IF('RACE '!C78=8,'RACE '!BA$17,"")))))))))))))))</f>
      </c>
      <c r="H79" s="179"/>
      <c r="I79" s="241" t="s">
        <v>77</v>
      </c>
      <c r="J79" s="67" t="s">
        <v>77</v>
      </c>
      <c r="K79" s="224"/>
      <c r="L79" s="64"/>
      <c r="M79" s="67"/>
      <c r="N79" s="64"/>
    </row>
    <row r="80" spans="3:14" s="3" customFormat="1" ht="25.5" customHeight="1" thickBot="1">
      <c r="C80" s="203"/>
      <c r="D80" s="172">
        <f>'RACE '!B79</f>
        <v>0</v>
      </c>
      <c r="E80" s="171">
        <f>'RACE '!D79</f>
        <v>0</v>
      </c>
      <c r="F80" s="176">
        <f>IF('RACE '!C79="","",'RACE '!C79)</f>
      </c>
      <c r="G80" s="233">
        <f>IF('RACE '!C79=1,'RACE '!BA$10,(IF('RACE '!C79=2,'RACE '!BA$11,(IF('RACE '!C79=3,'RACE '!BA$12,(IF('RACE '!C79=4,'RACE '!BA$13,(IF('RACE '!C79=5,'RACE '!BA$14,(IF('RACE '!C79=6,'RACE '!BA$15,(IF('RACE '!C79=7,'RACE '!BA$16,(IF('RACE '!C79=8,'RACE '!BA$17,"")))))))))))))))</f>
      </c>
      <c r="H80" s="177"/>
      <c r="I80" s="106"/>
      <c r="J80" s="30"/>
      <c r="K80" s="210"/>
      <c r="L80" s="60"/>
      <c r="M80" s="30"/>
      <c r="N80" s="60"/>
    </row>
    <row r="81" spans="3:14" s="66" customFormat="1" ht="25.5" customHeight="1" thickBot="1">
      <c r="C81" s="202"/>
      <c r="D81" s="130">
        <f>'RACE '!B80</f>
        <v>0</v>
      </c>
      <c r="E81" s="129">
        <f>'RACE '!D80</f>
        <v>0</v>
      </c>
      <c r="F81" s="178">
        <f>IF('RACE '!C80="","",'RACE '!C80)</f>
      </c>
      <c r="G81" s="234">
        <f>IF('RACE '!C80=1,'RACE '!BA$10,(IF('RACE '!C80=2,'RACE '!BA$11,(IF('RACE '!C80=3,'RACE '!BA$12,(IF('RACE '!C80=4,'RACE '!BA$13,(IF('RACE '!C80=5,'RACE '!BA$14,(IF('RACE '!C80=6,'RACE '!BA$15,(IF('RACE '!C80=7,'RACE '!BA$16,(IF('RACE '!C80=8,'RACE '!BA$17,"")))))))))))))))</f>
      </c>
      <c r="H81" s="179"/>
      <c r="I81" s="241"/>
      <c r="J81" s="67"/>
      <c r="K81" s="224"/>
      <c r="L81" s="64"/>
      <c r="M81" s="67"/>
      <c r="N81" s="64"/>
    </row>
    <row r="82" spans="3:14" s="265" customFormat="1" ht="25.5" customHeight="1" thickBot="1">
      <c r="C82" s="260">
        <f>'RACE '!A81</f>
        <v>8</v>
      </c>
      <c r="D82" s="272">
        <f>'RACE '!B81</f>
      </c>
      <c r="E82" s="273">
        <f>'RACE '!D81</f>
      </c>
      <c r="F82" s="260">
        <f>IF('RACE '!C81="","",'RACE '!C81)</f>
      </c>
      <c r="G82" s="274">
        <f>IF('RACE '!C81=1,'RACE '!BA$10,(IF('RACE '!C81=2,'RACE '!BA$11,(IF('RACE '!C81=3,'RACE '!BA$12,(IF('RACE '!C81=4,'RACE '!BA$13,(IF('RACE '!C81=5,'RACE '!BA$14,(IF('RACE '!C81=6,'RACE '!BA$15,(IF('RACE '!C81=7,'RACE '!BA$16,(IF('RACE '!C81=8,'RACE '!BA$17,"")))))))))))))))</f>
      </c>
      <c r="H82" s="374"/>
      <c r="I82" s="375" t="s">
        <v>77</v>
      </c>
      <c r="J82" s="376"/>
      <c r="K82" s="377"/>
      <c r="L82" s="378"/>
      <c r="M82" s="263"/>
      <c r="N82" s="264"/>
    </row>
    <row r="83" ht="25.5" customHeight="1"/>
  </sheetData>
  <sheetProtection/>
  <printOptions/>
  <pageMargins left="0.75" right="0.75" top="1" bottom="0" header="0" footer="0.25"/>
  <pageSetup fitToHeight="1" fitToWidth="1" horizontalDpi="600" verticalDpi="600" orientation="portrait" scale="34" r:id="rId3"/>
  <headerFooter alignWithMargins="0">
    <oddFooter>&amp;R&amp;D</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D4" sqref="D4"/>
    </sheetView>
  </sheetViews>
  <sheetFormatPr defaultColWidth="9.00390625" defaultRowHeight="12.75"/>
  <cols>
    <col min="1" max="13" width="6.875" style="0" customWidth="1"/>
  </cols>
  <sheetData>
    <row r="1" spans="1:16" ht="12.75">
      <c r="A1" s="332"/>
      <c r="B1" s="339" t="s">
        <v>113</v>
      </c>
      <c r="C1" s="332"/>
      <c r="D1" s="332"/>
      <c r="E1" s="332"/>
      <c r="F1" s="332"/>
      <c r="G1" s="332"/>
      <c r="H1" s="332"/>
      <c r="I1" s="147" t="str">
        <f>'RACE '!J2</f>
        <v>xx/xx/xx</v>
      </c>
      <c r="J1" s="332"/>
      <c r="K1" s="332"/>
      <c r="L1" s="332"/>
      <c r="M1" s="332"/>
      <c r="N1" s="147"/>
      <c r="O1" s="148" t="s">
        <v>114</v>
      </c>
      <c r="P1" s="147"/>
    </row>
    <row r="2" spans="1:16" ht="13.5" thickBot="1">
      <c r="A2" s="332"/>
      <c r="B2" s="333" t="s">
        <v>115</v>
      </c>
      <c r="C2" s="332"/>
      <c r="D2" s="332"/>
      <c r="E2" s="332"/>
      <c r="F2" s="332"/>
      <c r="G2" s="332"/>
      <c r="H2" s="332"/>
      <c r="I2" s="332"/>
      <c r="J2" s="332"/>
      <c r="K2" s="332"/>
      <c r="L2" s="332"/>
      <c r="M2" s="332"/>
      <c r="N2" s="147"/>
      <c r="O2" s="147"/>
      <c r="P2" s="147"/>
    </row>
    <row r="3" spans="1:16" ht="12.75">
      <c r="A3" s="332"/>
      <c r="B3" s="148" t="s">
        <v>100</v>
      </c>
      <c r="C3" s="147"/>
      <c r="D3" s="344" t="str">
        <f>'RACE '!A4</f>
        <v>Boat Name</v>
      </c>
      <c r="E3" s="147"/>
      <c r="F3" s="1618" t="s">
        <v>151</v>
      </c>
      <c r="G3" s="1619"/>
      <c r="H3" s="1619"/>
      <c r="I3" s="1620"/>
      <c r="J3" s="332"/>
      <c r="K3" s="332"/>
      <c r="L3" s="332"/>
      <c r="M3" s="332"/>
      <c r="N3" s="147"/>
      <c r="O3" s="147"/>
      <c r="P3" s="147"/>
    </row>
    <row r="4" spans="1:16" ht="14.25" customHeight="1" thickBot="1">
      <c r="A4" s="332"/>
      <c r="B4" s="148" t="s">
        <v>116</v>
      </c>
      <c r="C4" s="147"/>
      <c r="D4" s="149">
        <f>'RACE '!J4</f>
        <v>10</v>
      </c>
      <c r="E4" s="147"/>
      <c r="F4" s="1621"/>
      <c r="G4" s="1622"/>
      <c r="H4" s="1622"/>
      <c r="I4" s="1623"/>
      <c r="J4" s="332"/>
      <c r="K4" s="332"/>
      <c r="L4" s="332"/>
      <c r="M4" s="332"/>
      <c r="N4" s="147"/>
      <c r="O4" s="147"/>
      <c r="P4" s="147"/>
    </row>
    <row r="5" spans="1:16" ht="14.25" customHeight="1">
      <c r="A5" s="332"/>
      <c r="B5" s="148" t="s">
        <v>117</v>
      </c>
      <c r="C5" s="147"/>
      <c r="D5" s="150">
        <f>'RACE '!I4/100</f>
        <v>20</v>
      </c>
      <c r="E5" s="147"/>
      <c r="F5" s="745"/>
      <c r="G5" s="746"/>
      <c r="H5" s="745"/>
      <c r="I5" s="745"/>
      <c r="J5" s="332"/>
      <c r="K5" s="332"/>
      <c r="L5" s="332"/>
      <c r="M5" s="332"/>
      <c r="N5" s="147"/>
      <c r="O5" s="147"/>
      <c r="P5" s="147"/>
    </row>
    <row r="6" spans="1:16" ht="12.75">
      <c r="A6" s="332"/>
      <c r="B6" s="148" t="s">
        <v>118</v>
      </c>
      <c r="C6" s="147"/>
      <c r="D6" s="552">
        <v>1.3</v>
      </c>
      <c r="E6" s="147"/>
      <c r="F6" s="147"/>
      <c r="G6" s="147"/>
      <c r="H6" s="147"/>
      <c r="I6" s="332"/>
      <c r="J6" s="332"/>
      <c r="K6" s="332"/>
      <c r="L6" s="332"/>
      <c r="M6" s="332"/>
      <c r="N6" s="147"/>
      <c r="O6" s="147"/>
      <c r="P6" s="147"/>
    </row>
    <row r="7" spans="1:16" ht="13.5" thickBot="1">
      <c r="A7" s="332"/>
      <c r="B7" s="332"/>
      <c r="C7" s="332"/>
      <c r="D7" s="332"/>
      <c r="E7" s="332"/>
      <c r="F7" s="332"/>
      <c r="G7" s="332"/>
      <c r="H7" s="332"/>
      <c r="I7" s="332"/>
      <c r="J7" s="332"/>
      <c r="K7" s="332"/>
      <c r="L7" s="332"/>
      <c r="M7" s="332"/>
      <c r="N7" s="147"/>
      <c r="O7" s="147"/>
      <c r="P7" s="147"/>
    </row>
    <row r="8" spans="1:16" s="53" customFormat="1" ht="13.5" thickBot="1">
      <c r="A8" s="337" t="s">
        <v>119</v>
      </c>
      <c r="B8" s="338"/>
      <c r="C8" s="338"/>
      <c r="D8" s="338"/>
      <c r="E8" s="339" t="s">
        <v>165</v>
      </c>
      <c r="F8" s="338"/>
      <c r="G8" s="338"/>
      <c r="H8" s="338"/>
      <c r="I8" s="338"/>
      <c r="J8" s="338"/>
      <c r="K8" s="338"/>
      <c r="L8" s="338"/>
      <c r="M8" s="338"/>
      <c r="N8" s="340"/>
      <c r="O8" s="340"/>
      <c r="P8" s="340"/>
    </row>
    <row r="9" spans="1:16" s="265" customFormat="1" ht="13.5" thickBot="1">
      <c r="A9" s="341" t="s">
        <v>120</v>
      </c>
      <c r="B9" s="498" t="s">
        <v>121</v>
      </c>
      <c r="C9" s="498" t="s">
        <v>122</v>
      </c>
      <c r="D9" s="498" t="s">
        <v>123</v>
      </c>
      <c r="E9" s="499" t="s">
        <v>124</v>
      </c>
      <c r="F9" s="498" t="s">
        <v>125</v>
      </c>
      <c r="G9" s="498" t="s">
        <v>126</v>
      </c>
      <c r="H9" s="500" t="s">
        <v>127</v>
      </c>
      <c r="I9" s="498" t="s">
        <v>128</v>
      </c>
      <c r="J9" s="498" t="s">
        <v>129</v>
      </c>
      <c r="K9" s="499" t="s">
        <v>130</v>
      </c>
      <c r="L9" s="498" t="s">
        <v>131</v>
      </c>
      <c r="M9" s="500" t="s">
        <v>132</v>
      </c>
      <c r="N9" s="343"/>
      <c r="O9" s="343"/>
      <c r="P9" s="343"/>
    </row>
    <row r="10" spans="1:16" ht="12.75">
      <c r="A10" s="335">
        <f>$D$4*0</f>
        <v>0</v>
      </c>
      <c r="B10" s="488">
        <f aca="true" t="shared" si="0" ref="B10:M13">$D$5*$D$6*(-0.3)</f>
        <v>-7.8</v>
      </c>
      <c r="C10" s="490">
        <f t="shared" si="0"/>
        <v>-7.8</v>
      </c>
      <c r="D10" s="489">
        <f t="shared" si="0"/>
        <v>-7.8</v>
      </c>
      <c r="E10" s="490">
        <f t="shared" si="0"/>
        <v>-7.8</v>
      </c>
      <c r="F10" s="490">
        <f t="shared" si="0"/>
        <v>-7.8</v>
      </c>
      <c r="G10" s="489">
        <f t="shared" si="0"/>
        <v>-7.8</v>
      </c>
      <c r="H10" s="491">
        <f t="shared" si="0"/>
        <v>-7.8</v>
      </c>
      <c r="I10" s="489">
        <f t="shared" si="0"/>
        <v>-7.8</v>
      </c>
      <c r="J10" s="490">
        <f t="shared" si="0"/>
        <v>-7.8</v>
      </c>
      <c r="K10" s="490">
        <f t="shared" si="0"/>
        <v>-7.8</v>
      </c>
      <c r="L10" s="489">
        <f t="shared" si="0"/>
        <v>-7.8</v>
      </c>
      <c r="M10" s="491">
        <f t="shared" si="0"/>
        <v>-7.8</v>
      </c>
      <c r="N10" s="147"/>
      <c r="O10" s="147"/>
      <c r="P10" s="147"/>
    </row>
    <row r="11" spans="1:16" ht="12.75">
      <c r="A11" s="335">
        <f>$D$4*0.1</f>
        <v>1</v>
      </c>
      <c r="B11" s="492">
        <f aca="true" t="shared" si="1" ref="B11:G13">$D$5*$D$6*(-0.2)</f>
        <v>-5.2</v>
      </c>
      <c r="C11" s="345">
        <f t="shared" si="1"/>
        <v>-5.2</v>
      </c>
      <c r="D11" s="278">
        <f t="shared" si="1"/>
        <v>-5.2</v>
      </c>
      <c r="E11" s="345">
        <f t="shared" si="1"/>
        <v>-5.2</v>
      </c>
      <c r="F11" s="345">
        <f t="shared" si="1"/>
        <v>-5.2</v>
      </c>
      <c r="G11" s="278">
        <f t="shared" si="1"/>
        <v>-5.2</v>
      </c>
      <c r="H11" s="485">
        <f t="shared" si="0"/>
        <v>-7.8</v>
      </c>
      <c r="I11" s="278">
        <f t="shared" si="0"/>
        <v>-7.8</v>
      </c>
      <c r="J11" s="345">
        <f t="shared" si="0"/>
        <v>-7.8</v>
      </c>
      <c r="K11" s="345">
        <f t="shared" si="0"/>
        <v>-7.8</v>
      </c>
      <c r="L11" s="278">
        <f t="shared" si="0"/>
        <v>-7.8</v>
      </c>
      <c r="M11" s="485">
        <f t="shared" si="0"/>
        <v>-7.8</v>
      </c>
      <c r="N11" s="147"/>
      <c r="O11" s="147"/>
      <c r="P11" s="147"/>
    </row>
    <row r="12" spans="1:16" ht="12.75">
      <c r="A12" s="335">
        <f>$D$4*0.2</f>
        <v>2</v>
      </c>
      <c r="B12" s="492">
        <f t="shared" si="1"/>
        <v>-5.2</v>
      </c>
      <c r="C12" s="345">
        <f t="shared" si="1"/>
        <v>-5.2</v>
      </c>
      <c r="D12" s="278">
        <f t="shared" si="1"/>
        <v>-5.2</v>
      </c>
      <c r="E12" s="345">
        <f t="shared" si="1"/>
        <v>-5.2</v>
      </c>
      <c r="F12" s="345">
        <f t="shared" si="1"/>
        <v>-5.2</v>
      </c>
      <c r="G12" s="278">
        <f t="shared" si="1"/>
        <v>-5.2</v>
      </c>
      <c r="H12" s="485">
        <f t="shared" si="0"/>
        <v>-7.8</v>
      </c>
      <c r="I12" s="278">
        <f t="shared" si="0"/>
        <v>-7.8</v>
      </c>
      <c r="J12" s="345">
        <f t="shared" si="0"/>
        <v>-7.8</v>
      </c>
      <c r="K12" s="345">
        <f t="shared" si="0"/>
        <v>-7.8</v>
      </c>
      <c r="L12" s="278">
        <f t="shared" si="0"/>
        <v>-7.8</v>
      </c>
      <c r="M12" s="485">
        <f t="shared" si="0"/>
        <v>-7.8</v>
      </c>
      <c r="N12" s="147"/>
      <c r="O12" s="147"/>
      <c r="P12" s="147"/>
    </row>
    <row r="13" spans="1:16" ht="12.75">
      <c r="A13" s="335">
        <f>$D$4*0.3</f>
        <v>3</v>
      </c>
      <c r="B13" s="492">
        <f t="shared" si="1"/>
        <v>-5.2</v>
      </c>
      <c r="C13" s="345">
        <f t="shared" si="1"/>
        <v>-5.2</v>
      </c>
      <c r="D13" s="278">
        <f t="shared" si="1"/>
        <v>-5.2</v>
      </c>
      <c r="E13" s="345">
        <f t="shared" si="1"/>
        <v>-5.2</v>
      </c>
      <c r="F13" s="345">
        <f t="shared" si="1"/>
        <v>-5.2</v>
      </c>
      <c r="G13" s="278">
        <f t="shared" si="1"/>
        <v>-5.2</v>
      </c>
      <c r="H13" s="485">
        <f t="shared" si="0"/>
        <v>-7.8</v>
      </c>
      <c r="I13" s="278">
        <f t="shared" si="0"/>
        <v>-7.8</v>
      </c>
      <c r="J13" s="345">
        <f t="shared" si="0"/>
        <v>-7.8</v>
      </c>
      <c r="K13" s="345">
        <f t="shared" si="0"/>
        <v>-7.8</v>
      </c>
      <c r="L13" s="278">
        <f t="shared" si="0"/>
        <v>-7.8</v>
      </c>
      <c r="M13" s="485">
        <f t="shared" si="0"/>
        <v>-7.8</v>
      </c>
      <c r="N13" s="147"/>
      <c r="O13" s="147"/>
      <c r="P13" s="147"/>
    </row>
    <row r="14" spans="1:16" ht="12.75">
      <c r="A14" s="335">
        <f>$D$4*0.4</f>
        <v>4</v>
      </c>
      <c r="B14" s="492">
        <f>$D$5*$D$6*(-0.2)</f>
        <v>-5.2</v>
      </c>
      <c r="C14" s="345">
        <f>$D$5*$D$6*(-0.1)</f>
        <v>-2.6</v>
      </c>
      <c r="D14" s="278">
        <f>$D$5*$D$6*(-0.1)</f>
        <v>-2.6</v>
      </c>
      <c r="E14" s="345">
        <f>$D$5*$D$6*(-0.1)</f>
        <v>-2.6</v>
      </c>
      <c r="F14" s="345">
        <f>$D$5*$D$6*(-0.2)</f>
        <v>-5.2</v>
      </c>
      <c r="G14" s="278">
        <f>$D$5*$D$6*(-0.2)</f>
        <v>-5.2</v>
      </c>
      <c r="H14" s="485">
        <f>$D$5*$D$6*(-0.3)</f>
        <v>-7.8</v>
      </c>
      <c r="I14" s="278">
        <f>$D$5*$D$6*(-0.3)</f>
        <v>-7.8</v>
      </c>
      <c r="J14" s="345">
        <f>$D$5*$D$6*(-0.4)</f>
        <v>-10.4</v>
      </c>
      <c r="K14" s="345">
        <f>$D$5*$D$6*(-0.4)</f>
        <v>-10.4</v>
      </c>
      <c r="L14" s="278">
        <f>$D$5*$D$6*(-0.4)</f>
        <v>-10.4</v>
      </c>
      <c r="M14" s="485">
        <f>$D$5*$D$6*(-0.3)</f>
        <v>-7.8</v>
      </c>
      <c r="N14" s="147"/>
      <c r="O14" s="147"/>
      <c r="P14" s="147"/>
    </row>
    <row r="15" spans="1:16" ht="12.75">
      <c r="A15" s="335"/>
      <c r="B15" s="493"/>
      <c r="C15" s="346"/>
      <c r="D15" s="494"/>
      <c r="E15" s="346"/>
      <c r="F15" s="346"/>
      <c r="G15" s="494"/>
      <c r="H15" s="486"/>
      <c r="I15" s="494"/>
      <c r="J15" s="346"/>
      <c r="K15" s="346"/>
      <c r="L15" s="494"/>
      <c r="M15" s="486"/>
      <c r="N15" s="147"/>
      <c r="O15" s="147"/>
      <c r="P15" s="147"/>
    </row>
    <row r="16" spans="1:16" ht="12.75">
      <c r="A16" s="335">
        <f>$D$4*0.5</f>
        <v>5</v>
      </c>
      <c r="B16" s="492">
        <f>$D$5*$D$6*(-0.2)</f>
        <v>-5.2</v>
      </c>
      <c r="C16" s="345">
        <f>$D$5*$D$6*(-0.1)</f>
        <v>-2.6</v>
      </c>
      <c r="D16" s="278">
        <f>$D$5*$D$6*(-0.1)</f>
        <v>-2.6</v>
      </c>
      <c r="E16" s="345">
        <f>$D$5*$D$6*(-0.1)</f>
        <v>-2.6</v>
      </c>
      <c r="F16" s="345">
        <f>$D$5*$D$6*(-0.1)</f>
        <v>-2.6</v>
      </c>
      <c r="G16" s="278">
        <f>$D$5*$D$6*(-0.2)</f>
        <v>-5.2</v>
      </c>
      <c r="H16" s="485">
        <f>$D$5*$D$6*(-0.3)</f>
        <v>-7.8</v>
      </c>
      <c r="I16" s="278">
        <f>$D$5*$D$6*(-0.3)</f>
        <v>-7.8</v>
      </c>
      <c r="J16" s="345">
        <f>$D$5*$D$6*(-0.4)</f>
        <v>-10.4</v>
      </c>
      <c r="K16" s="345">
        <f>$D$5*$D$6*(-0.5)</f>
        <v>-13</v>
      </c>
      <c r="L16" s="278">
        <f>$D$5*$D$6*(-0.5)</f>
        <v>-13</v>
      </c>
      <c r="M16" s="485">
        <f>$D$5*$D$6*(-0.3)</f>
        <v>-7.8</v>
      </c>
      <c r="N16" s="147"/>
      <c r="O16" s="147"/>
      <c r="P16" s="147"/>
    </row>
    <row r="17" spans="1:16" ht="12.75">
      <c r="A17" s="335">
        <f>$D$4*0.6</f>
        <v>6</v>
      </c>
      <c r="B17" s="492">
        <f>$D$5*$D$6*(-0.2)</f>
        <v>-5.2</v>
      </c>
      <c r="C17" s="345">
        <f>$D$5*$D$6*0</f>
        <v>0</v>
      </c>
      <c r="D17" s="278">
        <f>$D$5*$D$6*0</f>
        <v>0</v>
      </c>
      <c r="E17" s="345">
        <f>$D$5*$D$6*0</f>
        <v>0</v>
      </c>
      <c r="F17" s="345">
        <f>$D$5*$D$6*0</f>
        <v>0</v>
      </c>
      <c r="G17" s="278">
        <f>$D$5*$D$6*(-0.1)</f>
        <v>-2.6</v>
      </c>
      <c r="H17" s="485">
        <f>$D$5*$D$6*(-0.3)</f>
        <v>-7.8</v>
      </c>
      <c r="I17" s="278">
        <f>$D$5*$D$6*(-0.4)</f>
        <v>-10.4</v>
      </c>
      <c r="J17" s="345">
        <f>$D$5*$D$6*(-0.5)</f>
        <v>-13</v>
      </c>
      <c r="K17" s="345">
        <f>$D$5*$D$6*(-0.5)</f>
        <v>-13</v>
      </c>
      <c r="L17" s="278">
        <f>$D$5*$D$6*(-0.6)</f>
        <v>-15.6</v>
      </c>
      <c r="M17" s="485">
        <f>$D$5*$D$6*(-0.4)</f>
        <v>-10.4</v>
      </c>
      <c r="N17" s="147"/>
      <c r="O17" s="147"/>
      <c r="P17" s="147"/>
    </row>
    <row r="18" spans="1:16" ht="12.75">
      <c r="A18" s="335">
        <f>$D$4*0.7</f>
        <v>7</v>
      </c>
      <c r="B18" s="492">
        <f>$D$5*$D$6*(-0.1)</f>
        <v>-2.6</v>
      </c>
      <c r="C18" s="345">
        <f>$D$5*$D$6*0.1</f>
        <v>2.6</v>
      </c>
      <c r="D18" s="278">
        <f>$D$5*$D$6*0.1</f>
        <v>2.6</v>
      </c>
      <c r="E18" s="345">
        <f>$D$5*$D$6*0.1</f>
        <v>2.6</v>
      </c>
      <c r="F18" s="345">
        <f>$D$5*$D$6*0</f>
        <v>0</v>
      </c>
      <c r="G18" s="278">
        <f>$D$5*$D$6*(-0.1)</f>
        <v>-2.6</v>
      </c>
      <c r="H18" s="485">
        <f>$D$5*$D$6*(-0.3)</f>
        <v>-7.8</v>
      </c>
      <c r="I18" s="278">
        <f>$D$5*$D$6*(-0.4)</f>
        <v>-10.4</v>
      </c>
      <c r="J18" s="345">
        <f>$D$5*$D$6*(-0.6)</f>
        <v>-15.6</v>
      </c>
      <c r="K18" s="345">
        <f>$D$5*$D$6*(-0.6)</f>
        <v>-15.6</v>
      </c>
      <c r="L18" s="278">
        <f>$D$5*$D$6*(-0.7)</f>
        <v>-18.2</v>
      </c>
      <c r="M18" s="485">
        <f>$D$5*$D$6*(-0.4)</f>
        <v>-10.4</v>
      </c>
      <c r="N18" s="147"/>
      <c r="O18" s="147"/>
      <c r="P18" s="147"/>
    </row>
    <row r="19" spans="1:16" ht="12.75">
      <c r="A19" s="335">
        <f>$D$4*0.8</f>
        <v>8</v>
      </c>
      <c r="B19" s="492">
        <f>$D$5*$D$6*(-0.1)</f>
        <v>-2.6</v>
      </c>
      <c r="C19" s="345">
        <f>$D$5*$D$6*0.2</f>
        <v>5.2</v>
      </c>
      <c r="D19" s="278">
        <f>$D$5*$D$6*0.2</f>
        <v>5.2</v>
      </c>
      <c r="E19" s="345">
        <f>$D$5*$D$6*0.2</f>
        <v>5.2</v>
      </c>
      <c r="F19" s="345">
        <f>$D$5*$D$6*0.1</f>
        <v>2.6</v>
      </c>
      <c r="G19" s="278">
        <f>$D$5*$D$6*0</f>
        <v>0</v>
      </c>
      <c r="H19" s="485">
        <f>$D$5*$D$6*(-0.3)</f>
        <v>-7.8</v>
      </c>
      <c r="I19" s="278">
        <f>$D$5*$D$6*(-0.5)</f>
        <v>-13</v>
      </c>
      <c r="J19" s="345">
        <f>$D$5*$D$6*(-0.7)</f>
        <v>-18.2</v>
      </c>
      <c r="K19" s="345">
        <f>$D$5*$D$6*(-0.8)</f>
        <v>-20.8</v>
      </c>
      <c r="L19" s="278">
        <f>$D$5*$D$6*(-0.8)</f>
        <v>-20.8</v>
      </c>
      <c r="M19" s="485">
        <f>$D$5*$D$6*(-0.5)</f>
        <v>-13</v>
      </c>
      <c r="N19" s="147"/>
      <c r="O19" s="147"/>
      <c r="P19" s="147"/>
    </row>
    <row r="20" spans="1:16" ht="12.75">
      <c r="A20" s="335">
        <f>$D$4*0.9</f>
        <v>9</v>
      </c>
      <c r="B20" s="492">
        <f>$D$5*$D$6*0</f>
        <v>0</v>
      </c>
      <c r="C20" s="345">
        <f>$D$5*$D$6*(0.3)</f>
        <v>7.8</v>
      </c>
      <c r="D20" s="278">
        <f>$D$5*$D$6*(0.4)</f>
        <v>10.4</v>
      </c>
      <c r="E20" s="345">
        <f>$D$5*$D$6*(0.3)</f>
        <v>7.8</v>
      </c>
      <c r="F20" s="345">
        <f>$D$5*$D$6*(0.2)</f>
        <v>5.2</v>
      </c>
      <c r="G20" s="278">
        <f>$D$5*$D$6*0</f>
        <v>0</v>
      </c>
      <c r="H20" s="485">
        <f>$D$5*$D$6*(-0.3)</f>
        <v>-7.8</v>
      </c>
      <c r="I20" s="278">
        <f>$D$5*$D$6*(-0.5)</f>
        <v>-13</v>
      </c>
      <c r="J20" s="345">
        <f>$D$5*$D$6*(-0.8)</f>
        <v>-20.8</v>
      </c>
      <c r="K20" s="345">
        <f>$D$5*$D$6*(-0.9)</f>
        <v>-23.400000000000002</v>
      </c>
      <c r="L20" s="278">
        <f>$D$5*$D$6*(-0.9)</f>
        <v>-23.400000000000002</v>
      </c>
      <c r="M20" s="485">
        <f>$D$5*$D$6*(-0.5)</f>
        <v>-13</v>
      </c>
      <c r="N20" s="147"/>
      <c r="O20" s="147"/>
      <c r="P20" s="147"/>
    </row>
    <row r="21" spans="1:16" ht="12.75">
      <c r="A21" s="335"/>
      <c r="B21" s="493"/>
      <c r="C21" s="346"/>
      <c r="D21" s="494"/>
      <c r="E21" s="346"/>
      <c r="F21" s="346"/>
      <c r="G21" s="494"/>
      <c r="H21" s="486"/>
      <c r="I21" s="494"/>
      <c r="J21" s="346"/>
      <c r="K21" s="346"/>
      <c r="L21" s="494"/>
      <c r="M21" s="486"/>
      <c r="N21" s="147"/>
      <c r="O21" s="147"/>
      <c r="P21" s="147"/>
    </row>
    <row r="22" spans="1:16" ht="12.75">
      <c r="A22" s="335">
        <f>$D$4*1</f>
        <v>10</v>
      </c>
      <c r="B22" s="492">
        <f>$D$5*$D$6*0</f>
        <v>0</v>
      </c>
      <c r="C22" s="345">
        <f>$D$5*$D$6*0.4</f>
        <v>10.4</v>
      </c>
      <c r="D22" s="278">
        <f>$D$5*$D$6*0.5</f>
        <v>13</v>
      </c>
      <c r="E22" s="345">
        <f>$D$5*$D$6*0.4</f>
        <v>10.4</v>
      </c>
      <c r="F22" s="345">
        <f>$D$5*$D$6*0.4</f>
        <v>10.4</v>
      </c>
      <c r="G22" s="278">
        <f>$D$5*$D$6*0.1</f>
        <v>2.6</v>
      </c>
      <c r="H22" s="485">
        <f>$D$5*$D$6*(-0.3)</f>
        <v>-7.8</v>
      </c>
      <c r="I22" s="278">
        <f>$D$5*$D$6*(-0.6)</f>
        <v>-15.6</v>
      </c>
      <c r="J22" s="345">
        <f>$D$5*$D$6*(-0.9)</f>
        <v>-23.400000000000002</v>
      </c>
      <c r="K22" s="345">
        <f>$D$5*$D$6*(-1.1)</f>
        <v>-28.6</v>
      </c>
      <c r="L22" s="722">
        <f>$D$5*$D$6*(-1.1)</f>
        <v>-28.6</v>
      </c>
      <c r="M22" s="485">
        <f>$D$5*$D$6*(-0.6)</f>
        <v>-15.6</v>
      </c>
      <c r="N22" s="147"/>
      <c r="O22" s="147"/>
      <c r="P22" s="147"/>
    </row>
    <row r="23" spans="1:16" ht="12.75">
      <c r="A23" s="335">
        <f>$D$4*1.1</f>
        <v>11</v>
      </c>
      <c r="B23" s="492">
        <f>$D$5*$D$6*0.1</f>
        <v>2.6</v>
      </c>
      <c r="C23" s="345">
        <f>$D$5*$D$6*0.5</f>
        <v>13</v>
      </c>
      <c r="D23" s="278">
        <f>$D$5*$D$6*0.7</f>
        <v>18.2</v>
      </c>
      <c r="E23" s="345">
        <f>$D$5*$D$6*0.6</f>
        <v>15.6</v>
      </c>
      <c r="F23" s="345">
        <f>$D$5*$D$6*0.5</f>
        <v>13</v>
      </c>
      <c r="G23" s="278">
        <f>$D$5*$D$6*0.2</f>
        <v>5.2</v>
      </c>
      <c r="H23" s="485">
        <f>$D$5*$D$6*(-0.3)</f>
        <v>-7.8</v>
      </c>
      <c r="I23" s="278">
        <f>$D$5*$D$6*(-0.7)</f>
        <v>-18.2</v>
      </c>
      <c r="J23" s="345">
        <f>$D$5*$D$6*(-1)</f>
        <v>-26</v>
      </c>
      <c r="K23" s="345">
        <f>$D$5*$D$6*(-1.2)</f>
        <v>-31.2</v>
      </c>
      <c r="L23" s="278">
        <f>$D$5*$D$6*(-1.3)</f>
        <v>-33.800000000000004</v>
      </c>
      <c r="M23" s="485">
        <f>$D$5*$D$6*(-0.7)</f>
        <v>-18.2</v>
      </c>
      <c r="N23" s="147"/>
      <c r="O23" s="147"/>
      <c r="P23" s="147"/>
    </row>
    <row r="24" spans="1:16" ht="12.75">
      <c r="A24" s="335">
        <f>$D$4*1.2</f>
        <v>12</v>
      </c>
      <c r="B24" s="492">
        <f>$D$5*$D$6*0.1</f>
        <v>2.6</v>
      </c>
      <c r="C24" s="345">
        <f>$D$5*$D$6*0.7</f>
        <v>18.2</v>
      </c>
      <c r="D24" s="278">
        <f>$D$5*$D$6*0.8</f>
        <v>20.8</v>
      </c>
      <c r="E24" s="345">
        <f>$D$5*$D$6*0.7</f>
        <v>18.2</v>
      </c>
      <c r="F24" s="345">
        <f>$D$5*$D$6*0.6</f>
        <v>15.6</v>
      </c>
      <c r="G24" s="278">
        <f>$D$5*$D$6*0.3</f>
        <v>7.8</v>
      </c>
      <c r="H24" s="485">
        <f>$D$5*$D$6*(-0.3)</f>
        <v>-7.8</v>
      </c>
      <c r="I24" s="278">
        <f>$D$5*$D$6*(-0.8)</f>
        <v>-20.8</v>
      </c>
      <c r="J24" s="345">
        <f>$D$5*$D$6*(-1.2)</f>
        <v>-31.2</v>
      </c>
      <c r="K24" s="345">
        <f>$D$5*$D$6*(-1.4)</f>
        <v>-36.4</v>
      </c>
      <c r="L24" s="278">
        <f>$D$5*$D$6*(-1.5)</f>
        <v>-39</v>
      </c>
      <c r="M24" s="485">
        <f>$D$5*$D$6*(-0.8)</f>
        <v>-20.8</v>
      </c>
      <c r="N24" s="147"/>
      <c r="O24" s="147"/>
      <c r="P24" s="147"/>
    </row>
    <row r="25" spans="1:16" ht="12.75">
      <c r="A25" s="335">
        <f>$D$4*1.3</f>
        <v>13</v>
      </c>
      <c r="B25" s="492">
        <f>$D$5*$D$6*0.2</f>
        <v>5.2</v>
      </c>
      <c r="C25" s="345">
        <f>$D$5*$D$6*0.8</f>
        <v>20.8</v>
      </c>
      <c r="D25" s="278">
        <f>$D$5*$D$6*1</f>
        <v>26</v>
      </c>
      <c r="E25" s="345">
        <f>$D$5*$D$6*0.9</f>
        <v>23.400000000000002</v>
      </c>
      <c r="F25" s="345">
        <f>$D$5*$D$6*0.8</f>
        <v>20.8</v>
      </c>
      <c r="G25" s="278">
        <f>$D$5*$D$6*0.3</f>
        <v>7.8</v>
      </c>
      <c r="H25" s="485">
        <f>$D$5*$D$6*(-0.3)</f>
        <v>-7.8</v>
      </c>
      <c r="I25" s="278">
        <f>$D$5*$D$6*(-0.8)</f>
        <v>-20.8</v>
      </c>
      <c r="J25" s="345">
        <f>$D$5*$D$6*(-1.3)</f>
        <v>-33.800000000000004</v>
      </c>
      <c r="K25" s="345">
        <f>$D$5*$D$6*(-1.6)</f>
        <v>-41.6</v>
      </c>
      <c r="L25" s="278">
        <f>$D$5*$D$6*(-1.7)</f>
        <v>-44.199999999999996</v>
      </c>
      <c r="M25" s="485">
        <f>$D$5*$D$6*(-0.8)</f>
        <v>-20.8</v>
      </c>
      <c r="N25" s="147"/>
      <c r="O25" s="147"/>
      <c r="P25" s="147"/>
    </row>
    <row r="26" spans="1:16" ht="12.75">
      <c r="A26" s="335">
        <f>$D$4*1.4</f>
        <v>14</v>
      </c>
      <c r="B26" s="492">
        <f>$D$5*$D$6*0.2</f>
        <v>5.2</v>
      </c>
      <c r="C26" s="345">
        <f>$D$5*$D$6*1</f>
        <v>26</v>
      </c>
      <c r="D26" s="278">
        <f>$D$5*$D$6*1.2</f>
        <v>31.2</v>
      </c>
      <c r="E26" s="345">
        <f>$D$5*$D$6*1.1</f>
        <v>28.6</v>
      </c>
      <c r="F26" s="345">
        <f>$D$5*$D$6*0.9</f>
        <v>23.400000000000002</v>
      </c>
      <c r="G26" s="278">
        <f>$D$5*$D$6*0.4</f>
        <v>10.4</v>
      </c>
      <c r="H26" s="485">
        <f>$D$5*$D$6*(-0.3)</f>
        <v>-7.8</v>
      </c>
      <c r="I26" s="278">
        <f>$D$5*$D$6*(-0.9)</f>
        <v>-23.400000000000002</v>
      </c>
      <c r="J26" s="345">
        <f>$D$5*$D$6*(-1.5)</f>
        <v>-39</v>
      </c>
      <c r="K26" s="345">
        <f>$D$5*$D$6*(-1.8)</f>
        <v>-46.800000000000004</v>
      </c>
      <c r="L26" s="278">
        <f>$D$5*$D$6*(-1.9)</f>
        <v>-49.4</v>
      </c>
      <c r="M26" s="485">
        <f>$D$5*$D$6*(-0.9)</f>
        <v>-23.400000000000002</v>
      </c>
      <c r="N26" s="147"/>
      <c r="O26" s="147"/>
      <c r="P26" s="147"/>
    </row>
    <row r="27" spans="1:16" ht="12.75">
      <c r="A27" s="335"/>
      <c r="B27" s="493"/>
      <c r="C27" s="346"/>
      <c r="D27" s="494"/>
      <c r="E27" s="346"/>
      <c r="F27" s="346"/>
      <c r="G27" s="494"/>
      <c r="H27" s="486"/>
      <c r="I27" s="494"/>
      <c r="J27" s="346"/>
      <c r="K27" s="346"/>
      <c r="L27" s="494"/>
      <c r="M27" s="486"/>
      <c r="N27" s="147"/>
      <c r="O27" s="147"/>
      <c r="P27" s="147"/>
    </row>
    <row r="28" spans="1:16" ht="12.75">
      <c r="A28" s="335">
        <f>$D$4*1.5</f>
        <v>15</v>
      </c>
      <c r="B28" s="492">
        <f>$D$5*$D$6*0.3</f>
        <v>7.8</v>
      </c>
      <c r="C28" s="345">
        <f>$D$5*$D$6*1.2</f>
        <v>31.2</v>
      </c>
      <c r="D28" s="278">
        <f>$D$5*$D$6*1.4</f>
        <v>36.4</v>
      </c>
      <c r="E28" s="345">
        <f>$D$5*$D$6*1.3</f>
        <v>33.800000000000004</v>
      </c>
      <c r="F28" s="345">
        <f>$D$5*$D$6*1.1</f>
        <v>28.6</v>
      </c>
      <c r="G28" s="278">
        <f>$D$5*$D$6*0.5</f>
        <v>13</v>
      </c>
      <c r="H28" s="485">
        <f>$D$5*$D$6*(-0.3)</f>
        <v>-7.8</v>
      </c>
      <c r="I28" s="278">
        <f>$D$5*$D$6*(-1)</f>
        <v>-26</v>
      </c>
      <c r="J28" s="345">
        <f>$D$5*$D$6*(-1.7)</f>
        <v>-44.199999999999996</v>
      </c>
      <c r="K28" s="345">
        <f>$D$5*$D$6*(-2.1)</f>
        <v>-54.6</v>
      </c>
      <c r="L28" s="278">
        <f>$D$5*$D$6*(-2.2)</f>
        <v>-57.2</v>
      </c>
      <c r="M28" s="485">
        <f>$D$5*$D$6*(-1)</f>
        <v>-26</v>
      </c>
      <c r="N28" s="147"/>
      <c r="O28" s="147"/>
      <c r="P28" s="147"/>
    </row>
    <row r="29" spans="1:16" ht="12.75">
      <c r="A29" s="335">
        <f>$D$4*1.6</f>
        <v>16</v>
      </c>
      <c r="B29" s="492">
        <f>$D$5*$D$6*0.4</f>
        <v>10.4</v>
      </c>
      <c r="C29" s="345">
        <f>$D$5*$D$6*1.4</f>
        <v>36.4</v>
      </c>
      <c r="D29" s="278">
        <f>$D$5*$D$6*1.7</f>
        <v>44.199999999999996</v>
      </c>
      <c r="E29" s="345">
        <f>$D$5*$D$6*1.5</f>
        <v>39</v>
      </c>
      <c r="F29" s="345">
        <f>$D$5*$D$6*1.3</f>
        <v>33.800000000000004</v>
      </c>
      <c r="G29" s="278">
        <f>$D$5*$D$6*0.6</f>
        <v>15.6</v>
      </c>
      <c r="H29" s="485">
        <f>$D$5*$D$6*(-0.3)</f>
        <v>-7.8</v>
      </c>
      <c r="I29" s="278">
        <f>$D$5*$D$6*(-1.1)</f>
        <v>-28.6</v>
      </c>
      <c r="J29" s="345">
        <f>$D$5*$D$6*(-1.9)</f>
        <v>-49.4</v>
      </c>
      <c r="K29" s="345">
        <f>$D$5*$D$6*(-2.3)</f>
        <v>-59.8</v>
      </c>
      <c r="L29" s="278">
        <f>$D$5*$D$6*(-2.4)</f>
        <v>-62.4</v>
      </c>
      <c r="M29" s="485">
        <f>$D$5*$D$6*(-1.1)</f>
        <v>-28.6</v>
      </c>
      <c r="N29" s="147"/>
      <c r="O29" s="147"/>
      <c r="P29" s="147"/>
    </row>
    <row r="30" spans="1:16" ht="12.75">
      <c r="A30" s="335">
        <f>$D$4*1.7</f>
        <v>17</v>
      </c>
      <c r="B30" s="492">
        <f>$D$5*$D$6*0.5</f>
        <v>13</v>
      </c>
      <c r="C30" s="345">
        <f>$D$5*$D$6*1.6</f>
        <v>41.6</v>
      </c>
      <c r="D30" s="278">
        <f>$D$5*$D$6*1.9</f>
        <v>49.4</v>
      </c>
      <c r="E30" s="345">
        <f>$D$5*$D$6*1.7</f>
        <v>44.199999999999996</v>
      </c>
      <c r="F30" s="345">
        <f>$D$5*$D$6*1.5</f>
        <v>39</v>
      </c>
      <c r="G30" s="278">
        <f>$D$5*$D$6*0.8</f>
        <v>20.8</v>
      </c>
      <c r="H30" s="485">
        <f>$D$5*$D$6*(-0.3)</f>
        <v>-7.8</v>
      </c>
      <c r="I30" s="278">
        <f>$D$5*$D$6*(-1.3)</f>
        <v>-33.800000000000004</v>
      </c>
      <c r="J30" s="345">
        <f>$D$5*$D$6*(-2.1)</f>
        <v>-54.6</v>
      </c>
      <c r="K30" s="345">
        <f>$D$5*$D$6*(-2.6)</f>
        <v>-67.60000000000001</v>
      </c>
      <c r="L30" s="278">
        <f>$D$5*$D$6*(-2.7)</f>
        <v>-70.2</v>
      </c>
      <c r="M30" s="485">
        <f>$D$5*$D$6*(-1.3)</f>
        <v>-33.800000000000004</v>
      </c>
      <c r="N30" s="147"/>
      <c r="O30" s="147"/>
      <c r="P30" s="147"/>
    </row>
    <row r="31" spans="1:16" ht="12.75">
      <c r="A31" s="335">
        <f>$D$4*1.8</f>
        <v>18</v>
      </c>
      <c r="B31" s="492">
        <f>$D$5*$D$6*0.6</f>
        <v>15.6</v>
      </c>
      <c r="C31" s="345">
        <f>$D$5*$D$6*1.9</f>
        <v>49.4</v>
      </c>
      <c r="D31" s="278">
        <f>$D$5*$D$6*2.2</f>
        <v>57.2</v>
      </c>
      <c r="E31" s="345">
        <f>$D$5*$D$6*1.9</f>
        <v>49.4</v>
      </c>
      <c r="F31" s="345">
        <f>$D$5*$D$6*1.7</f>
        <v>44.199999999999996</v>
      </c>
      <c r="G31" s="278">
        <f>$D$5*$D$6*0.9</f>
        <v>23.400000000000002</v>
      </c>
      <c r="H31" s="485">
        <f>$D$5*$D$6*(-0.3)</f>
        <v>-7.8</v>
      </c>
      <c r="I31" s="278">
        <f>$D$5*$D$6*(-1.4)</f>
        <v>-36.4</v>
      </c>
      <c r="J31" s="345">
        <f>$D$5*$D$6*(-2.3)</f>
        <v>-59.8</v>
      </c>
      <c r="K31" s="345">
        <f>$D$5*$D$6*(-2.8)</f>
        <v>-72.8</v>
      </c>
      <c r="L31" s="278">
        <f>$D$5*$D$6*(-3)</f>
        <v>-78</v>
      </c>
      <c r="M31" s="485">
        <f>$D$5*$D$6*(-1.4)</f>
        <v>-36.4</v>
      </c>
      <c r="N31" s="147"/>
      <c r="O31" s="147"/>
      <c r="P31" s="147"/>
    </row>
    <row r="32" spans="1:16" ht="12.75">
      <c r="A32" s="335">
        <f>$D$4*1.9</f>
        <v>19</v>
      </c>
      <c r="B32" s="492">
        <f>$D$5*$D$6*0.7</f>
        <v>18.2</v>
      </c>
      <c r="C32" s="345">
        <f>$D$5*$D$6*2.1</f>
        <v>54.6</v>
      </c>
      <c r="D32" s="278">
        <f>$D$5*$D$6*2.5</f>
        <v>65</v>
      </c>
      <c r="E32" s="345">
        <f>$D$5*$D$6*2.2</f>
        <v>57.2</v>
      </c>
      <c r="F32" s="345">
        <f>$D$5*$D$6*1.9</f>
        <v>49.4</v>
      </c>
      <c r="G32" s="278">
        <f>$D$5*$D$6*1</f>
        <v>26</v>
      </c>
      <c r="H32" s="485">
        <f>$D$5*$D$6*(-0.3)</f>
        <v>-7.8</v>
      </c>
      <c r="I32" s="278">
        <f>$D$5*$D$6*(-1.5)</f>
        <v>-39</v>
      </c>
      <c r="J32" s="345">
        <f>$D$5*$D$6*(-2.5)</f>
        <v>-65</v>
      </c>
      <c r="K32" s="345">
        <f>$D$5*$D$6*(-3.1)</f>
        <v>-80.60000000000001</v>
      </c>
      <c r="L32" s="278">
        <f>$D$5*$D$6*(-3.3)</f>
        <v>-85.8</v>
      </c>
      <c r="M32" s="485">
        <f>$D$5*$D$6*(-1.5)</f>
        <v>-39</v>
      </c>
      <c r="N32" s="147"/>
      <c r="O32" s="147"/>
      <c r="P32" s="147"/>
    </row>
    <row r="33" spans="1:16" ht="12.75">
      <c r="A33" s="335"/>
      <c r="B33" s="493"/>
      <c r="C33" s="346"/>
      <c r="D33" s="494"/>
      <c r="E33" s="346"/>
      <c r="F33" s="346"/>
      <c r="G33" s="494"/>
      <c r="H33" s="486"/>
      <c r="I33" s="494"/>
      <c r="J33" s="346"/>
      <c r="K33" s="346"/>
      <c r="L33" s="494"/>
      <c r="M33" s="486"/>
      <c r="N33" s="147"/>
      <c r="O33" s="147"/>
      <c r="P33" s="147"/>
    </row>
    <row r="34" spans="1:16" ht="12.75">
      <c r="A34" s="335">
        <f>$D$4*2</f>
        <v>20</v>
      </c>
      <c r="B34" s="492">
        <f>$D$5*$D$6*0.8</f>
        <v>20.8</v>
      </c>
      <c r="C34" s="345">
        <f>$D$5*$D$6*2.4</f>
        <v>62.4</v>
      </c>
      <c r="D34" s="722">
        <f>$D$5*$D$6*2.8</f>
        <v>72.8</v>
      </c>
      <c r="E34" s="345">
        <f>$D$5*$D$6*2.5</f>
        <v>65</v>
      </c>
      <c r="F34" s="345">
        <f>$D$5*$D$6*2.2</f>
        <v>57.2</v>
      </c>
      <c r="G34" s="278">
        <f>$D$5*$D$6*1.2</f>
        <v>31.2</v>
      </c>
      <c r="H34" s="485">
        <f>$D$5*$D$6*(-0.3)</f>
        <v>-7.8</v>
      </c>
      <c r="I34" s="278">
        <f>$D$5*$D$6*(-1.7)</f>
        <v>-44.199999999999996</v>
      </c>
      <c r="J34" s="345">
        <f>$D$5*$D$6*(-2.8)</f>
        <v>-72.8</v>
      </c>
      <c r="K34" s="345">
        <f>$D$5*$D$6*(-3.5)</f>
        <v>-91</v>
      </c>
      <c r="L34" s="278">
        <f>$D$5*$D$6*(-3.7)</f>
        <v>-96.2</v>
      </c>
      <c r="M34" s="485">
        <f>$D$5*$D$6*(-1.7)</f>
        <v>-44.199999999999996</v>
      </c>
      <c r="N34" s="147"/>
      <c r="O34" s="147"/>
      <c r="P34" s="147"/>
    </row>
    <row r="35" spans="1:16" ht="12.75">
      <c r="A35" s="335">
        <f>$D$4*2.1</f>
        <v>21</v>
      </c>
      <c r="B35" s="492">
        <f>$D$5*$D$6*0.9</f>
        <v>23.400000000000002</v>
      </c>
      <c r="C35" s="345">
        <f>$D$5*$D$6*2.6</f>
        <v>67.60000000000001</v>
      </c>
      <c r="D35" s="278">
        <f>$D$5*$D$6*3.1</f>
        <v>80.60000000000001</v>
      </c>
      <c r="E35" s="345">
        <f>$D$5*$D$6*2.7</f>
        <v>70.2</v>
      </c>
      <c r="F35" s="345">
        <f>$D$5*$D$6*2.4</f>
        <v>62.4</v>
      </c>
      <c r="G35" s="278">
        <f>$D$5*$D$6*1.3</f>
        <v>33.800000000000004</v>
      </c>
      <c r="H35" s="485">
        <f>$D$5*$D$6*(-0.3)</f>
        <v>-7.8</v>
      </c>
      <c r="I35" s="278">
        <f>$D$5*$D$6*(-1.8)</f>
        <v>-46.800000000000004</v>
      </c>
      <c r="J35" s="345">
        <f>$D$5*$D$6*(-3)</f>
        <v>-78</v>
      </c>
      <c r="K35" s="345">
        <f>$D$5*$D$6*(-3.8)</f>
        <v>-98.8</v>
      </c>
      <c r="L35" s="278">
        <f>$D$5*$D$6*(-4)</f>
        <v>-104</v>
      </c>
      <c r="M35" s="485">
        <f>$D$5*$D$6*(-1.8)</f>
        <v>-46.800000000000004</v>
      </c>
      <c r="N35" s="147"/>
      <c r="O35" s="147"/>
      <c r="P35" s="147"/>
    </row>
    <row r="36" spans="1:16" ht="12.75">
      <c r="A36" s="335">
        <f>$D$4*2.2</f>
        <v>22</v>
      </c>
      <c r="B36" s="492">
        <f>$D$5*$D$6*1</f>
        <v>26</v>
      </c>
      <c r="C36" s="345">
        <f>$D$5*$D$6*2.9</f>
        <v>75.39999999999999</v>
      </c>
      <c r="D36" s="278">
        <f>$D$5*$D$6*3.4</f>
        <v>88.39999999999999</v>
      </c>
      <c r="E36" s="345">
        <f>$D$5*$D$6*3</f>
        <v>78</v>
      </c>
      <c r="F36" s="345">
        <f>$D$5*$D$6*2.7</f>
        <v>70.2</v>
      </c>
      <c r="G36" s="278">
        <f>$D$5*$D$6*1.4</f>
        <v>36.4</v>
      </c>
      <c r="H36" s="485">
        <f>$D$5*$D$6*(-0.3)</f>
        <v>-7.8</v>
      </c>
      <c r="I36" s="278">
        <f>$D$5*$D$6*(-1.9)</f>
        <v>-49.4</v>
      </c>
      <c r="J36" s="345">
        <f>$D$5*$D$6*(-3.3)</f>
        <v>-85.8</v>
      </c>
      <c r="K36" s="345">
        <f>$D$5*$D$6*(-4.1)</f>
        <v>-106.6</v>
      </c>
      <c r="L36" s="278">
        <f>$D$5*$D$6*(-4.4)</f>
        <v>-114.4</v>
      </c>
      <c r="M36" s="485">
        <f>$D$5*$D$6*(-1.9)</f>
        <v>-49.4</v>
      </c>
      <c r="N36" s="147"/>
      <c r="O36" s="147"/>
      <c r="P36" s="147"/>
    </row>
    <row r="37" spans="1:16" ht="12.75">
      <c r="A37" s="335">
        <f>$D$4*2.3</f>
        <v>23</v>
      </c>
      <c r="B37" s="492">
        <f>$D$5*$D$6*1.1</f>
        <v>28.6</v>
      </c>
      <c r="C37" s="345">
        <f>$D$5*$D$6*3.2</f>
        <v>83.2</v>
      </c>
      <c r="D37" s="278">
        <f>$D$5*$D$6*3.7</f>
        <v>96.2</v>
      </c>
      <c r="E37" s="345">
        <f>$D$5*$D$6*3.3</f>
        <v>85.8</v>
      </c>
      <c r="F37" s="345">
        <f>$D$5*$D$6*2.9</f>
        <v>75.39999999999999</v>
      </c>
      <c r="G37" s="278">
        <f>$D$5*$D$6*1.6</f>
        <v>41.6</v>
      </c>
      <c r="H37" s="485">
        <f>$D$5*$D$6*(-0.3)</f>
        <v>-7.8</v>
      </c>
      <c r="I37" s="278">
        <f>$D$5*$D$6*(-2.1)</f>
        <v>-54.6</v>
      </c>
      <c r="J37" s="345">
        <f>$D$5*$D$6*(-3.6)</f>
        <v>-93.60000000000001</v>
      </c>
      <c r="K37" s="345">
        <f>$D$5*$D$6*(-4.5)</f>
        <v>-117</v>
      </c>
      <c r="L37" s="278">
        <f>$D$5*$D$6*(-4.7)</f>
        <v>-122.2</v>
      </c>
      <c r="M37" s="485">
        <f>$D$5*$D$6*(-2.1)</f>
        <v>-54.6</v>
      </c>
      <c r="N37" s="147"/>
      <c r="O37" s="147"/>
      <c r="P37" s="147"/>
    </row>
    <row r="38" spans="1:16" ht="12.75">
      <c r="A38" s="335">
        <f>$D$4*2.4</f>
        <v>24</v>
      </c>
      <c r="B38" s="492">
        <f>$D$5*$D$6*1.2</f>
        <v>31.2</v>
      </c>
      <c r="C38" s="345">
        <f>$D$5*$D$6*3.5</f>
        <v>91</v>
      </c>
      <c r="D38" s="278">
        <f>$D$5*$D$6*4.1</f>
        <v>106.6</v>
      </c>
      <c r="E38" s="345">
        <f>$D$5*$D$6*3.6</f>
        <v>93.60000000000001</v>
      </c>
      <c r="F38" s="345">
        <f>$D$5*$D$6*3.2</f>
        <v>83.2</v>
      </c>
      <c r="G38" s="278">
        <f>$D$5*$D$6*1.8</f>
        <v>46.800000000000004</v>
      </c>
      <c r="H38" s="485">
        <f>$D$5*$D$6*(-0.3)</f>
        <v>-7.8</v>
      </c>
      <c r="I38" s="278">
        <f>$D$5*$D$6*(-2.3)</f>
        <v>-59.8</v>
      </c>
      <c r="J38" s="345">
        <f>$D$5*$D$6*(-3.9)</f>
        <v>-101.39999999999999</v>
      </c>
      <c r="K38" s="345">
        <f>$D$5*$D$6*(-4.9)</f>
        <v>-127.4</v>
      </c>
      <c r="L38" s="278">
        <f>$D$5*$D$6*(-5.1)</f>
        <v>-132.6</v>
      </c>
      <c r="M38" s="485">
        <f>$D$5*$D$6*(-2.3)</f>
        <v>-59.8</v>
      </c>
      <c r="N38" s="147"/>
      <c r="O38" s="147"/>
      <c r="P38" s="147"/>
    </row>
    <row r="39" spans="1:16" ht="12.75">
      <c r="A39" s="335"/>
      <c r="B39" s="493"/>
      <c r="C39" s="346"/>
      <c r="D39" s="494"/>
      <c r="E39" s="346"/>
      <c r="F39" s="346"/>
      <c r="G39" s="494"/>
      <c r="H39" s="486"/>
      <c r="I39" s="494"/>
      <c r="J39" s="346"/>
      <c r="K39" s="346"/>
      <c r="L39" s="494"/>
      <c r="M39" s="486"/>
      <c r="N39" s="147"/>
      <c r="O39" s="147"/>
      <c r="P39" s="147"/>
    </row>
    <row r="40" spans="1:16" ht="12.75">
      <c r="A40" s="335">
        <f>$D$4*2.5</f>
        <v>25</v>
      </c>
      <c r="B40" s="492">
        <f>$D$5*$D$6*1.3</f>
        <v>33.800000000000004</v>
      </c>
      <c r="C40" s="345">
        <f>$D$5*$D$6*3.8</f>
        <v>98.8</v>
      </c>
      <c r="D40" s="278">
        <f>$D$5*$D$6*4.4</f>
        <v>114.4</v>
      </c>
      <c r="E40" s="345">
        <f>$D$5*$D$6*4</f>
        <v>104</v>
      </c>
      <c r="F40" s="345">
        <f>$D$5*$D$6*3.5</f>
        <v>91</v>
      </c>
      <c r="G40" s="278">
        <f>$D$5*$D$6*1.9</f>
        <v>49.4</v>
      </c>
      <c r="H40" s="485">
        <f>$D$5*$D$6*(-0.3)</f>
        <v>-7.8</v>
      </c>
      <c r="I40" s="278">
        <f>$D$5*$D$6*(-2.4)</f>
        <v>-62.4</v>
      </c>
      <c r="J40" s="345">
        <f>$D$5*$D$6*(-4.2)</f>
        <v>-109.2</v>
      </c>
      <c r="K40" s="345">
        <f>$D$5*$D$6*(-5.3)</f>
        <v>-137.79999999999998</v>
      </c>
      <c r="L40" s="278">
        <f>$D$5*$D$6*(-5.6)</f>
        <v>-145.6</v>
      </c>
      <c r="M40" s="485">
        <f>$D$5*$D$6*(-2.4)</f>
        <v>-62.4</v>
      </c>
      <c r="N40" s="147"/>
      <c r="O40" s="147"/>
      <c r="P40" s="147"/>
    </row>
    <row r="41" spans="1:16" ht="12.75">
      <c r="A41" s="335">
        <f>$D$4*2.6</f>
        <v>26</v>
      </c>
      <c r="B41" s="492">
        <f>$D$5*$D$6*1.4</f>
        <v>36.4</v>
      </c>
      <c r="C41" s="345">
        <f>$D$5*$D$6*4.1</f>
        <v>106.6</v>
      </c>
      <c r="D41" s="278">
        <f>$D$5*$D$6*4.8</f>
        <v>124.8</v>
      </c>
      <c r="E41" s="345">
        <f>$D$5*$D$6*4.3</f>
        <v>111.8</v>
      </c>
      <c r="F41" s="345">
        <f>$D$5*$D$6*3.8</f>
        <v>98.8</v>
      </c>
      <c r="G41" s="278">
        <f>$D$5*$D$6*2.1</f>
        <v>54.6</v>
      </c>
      <c r="H41" s="485">
        <f>$D$5*$D$6*(-0.3)</f>
        <v>-7.8</v>
      </c>
      <c r="I41" s="278">
        <f>$D$5*$D$6*(-2.6)</f>
        <v>-67.60000000000001</v>
      </c>
      <c r="J41" s="345">
        <f>$D$5*$D$6*(-4.5)</f>
        <v>-117</v>
      </c>
      <c r="K41" s="345">
        <f>$D$5*$D$6*(-5.7)</f>
        <v>-148.20000000000002</v>
      </c>
      <c r="L41" s="278">
        <f>$D$5*$D$6*(-6)</f>
        <v>-156</v>
      </c>
      <c r="M41" s="485">
        <f>$D$5*$D$6*(-2.6)</f>
        <v>-67.60000000000001</v>
      </c>
      <c r="N41" s="147"/>
      <c r="O41" s="147"/>
      <c r="P41" s="147"/>
    </row>
    <row r="42" spans="1:16" ht="12.75">
      <c r="A42" s="335">
        <f>$D$4*2.7</f>
        <v>27</v>
      </c>
      <c r="B42" s="492">
        <f>$D$5*$D$6*1.6</f>
        <v>41.6</v>
      </c>
      <c r="C42" s="345">
        <f>$D$5*$D$6*4.5</f>
        <v>117</v>
      </c>
      <c r="D42" s="278">
        <f>$D$5*$D$6*5.2</f>
        <v>135.20000000000002</v>
      </c>
      <c r="E42" s="345">
        <f>$D$5*$D$6*4.7</f>
        <v>122.2</v>
      </c>
      <c r="F42" s="345">
        <f>$D$5*$D$6*4.1</f>
        <v>106.6</v>
      </c>
      <c r="G42" s="278">
        <f>$D$5*$D$6*2.3</f>
        <v>59.8</v>
      </c>
      <c r="H42" s="485">
        <f>$D$5*$D$6*(-0.3)</f>
        <v>-7.8</v>
      </c>
      <c r="I42" s="278">
        <f>$D$5*$D$6*(-2.8)</f>
        <v>-72.8</v>
      </c>
      <c r="J42" s="345">
        <f>$D$5*$D$6*(-4.8)</f>
        <v>-124.8</v>
      </c>
      <c r="K42" s="345">
        <f>$D$5*$D$6*(-6.1)</f>
        <v>-158.6</v>
      </c>
      <c r="L42" s="278">
        <f>$D$5*$D$6*(-6.4)</f>
        <v>-166.4</v>
      </c>
      <c r="M42" s="485">
        <f>$D$5*$D$6*(-2.8)</f>
        <v>-72.8</v>
      </c>
      <c r="N42" s="147"/>
      <c r="O42" s="147"/>
      <c r="P42" s="147"/>
    </row>
    <row r="43" spans="1:16" ht="12.75">
      <c r="A43" s="335">
        <f>$D$4*2.8</f>
        <v>28</v>
      </c>
      <c r="B43" s="492">
        <f>$D$5*$D$6*1.7</f>
        <v>44.199999999999996</v>
      </c>
      <c r="C43" s="345">
        <f>$D$5*$D$6*4.8</f>
        <v>124.8</v>
      </c>
      <c r="D43" s="278">
        <f>$D$5*$D$6*5.6</f>
        <v>145.6</v>
      </c>
      <c r="E43" s="345">
        <f>$D$5*$D$6*5</f>
        <v>130</v>
      </c>
      <c r="F43" s="345">
        <f>$D$5*$D$6*4.5</f>
        <v>117</v>
      </c>
      <c r="G43" s="278">
        <f>$D$5*$D$6*2.5</f>
        <v>65</v>
      </c>
      <c r="H43" s="485">
        <f>$D$5*$D$6*(-0.3)</f>
        <v>-7.8</v>
      </c>
      <c r="I43" s="278">
        <f>$D$5*$D$6*(-3)</f>
        <v>-78</v>
      </c>
      <c r="J43" s="345">
        <f>$D$5*$D$6*(-5.2)</f>
        <v>-135.20000000000002</v>
      </c>
      <c r="K43" s="345">
        <f>$D$5*$D$6*(-6.5)</f>
        <v>-169</v>
      </c>
      <c r="L43" s="278">
        <f>$D$5*$D$6*(-6.9)</f>
        <v>-179.4</v>
      </c>
      <c r="M43" s="485">
        <f>$D$5*$D$6*(-3)</f>
        <v>-78</v>
      </c>
      <c r="N43" s="147"/>
      <c r="O43" s="147"/>
      <c r="P43" s="147"/>
    </row>
    <row r="44" spans="1:16" ht="12.75">
      <c r="A44" s="335">
        <f>$D$4*2.9</f>
        <v>29</v>
      </c>
      <c r="B44" s="492">
        <f>$D$5*$D$6*1.9</f>
        <v>49.4</v>
      </c>
      <c r="C44" s="345">
        <f>$D$5*$D$6*5.2</f>
        <v>135.20000000000002</v>
      </c>
      <c r="D44" s="278">
        <f>$D$5*$D$6*6.1</f>
        <v>158.6</v>
      </c>
      <c r="E44" s="345">
        <f>$D$5*$D$6*5.4</f>
        <v>140.4</v>
      </c>
      <c r="F44" s="345">
        <f>$D$5*$D$6*4.8</f>
        <v>124.8</v>
      </c>
      <c r="G44" s="278">
        <f>$D$5*$D$6*2.7</f>
        <v>70.2</v>
      </c>
      <c r="H44" s="485">
        <f>$D$5*$D$6*(-0.3)</f>
        <v>-7.8</v>
      </c>
      <c r="I44" s="278">
        <f>$D$5*$D$6*(-3.2)</f>
        <v>-83.2</v>
      </c>
      <c r="J44" s="345">
        <f>$D$5*$D$6*(-5.5)</f>
        <v>-143</v>
      </c>
      <c r="K44" s="345">
        <f>$D$5*$D$6*(-7)</f>
        <v>-182</v>
      </c>
      <c r="L44" s="278">
        <f>$D$5*$D$6*(-7.4)</f>
        <v>-192.4</v>
      </c>
      <c r="M44" s="485">
        <f>$D$5*$D$6*(-3.2)</f>
        <v>-83.2</v>
      </c>
      <c r="N44" s="147"/>
      <c r="O44" s="147"/>
      <c r="P44" s="147"/>
    </row>
    <row r="45" spans="1:16" ht="12.75">
      <c r="A45" s="335"/>
      <c r="B45" s="493"/>
      <c r="C45" s="346"/>
      <c r="D45" s="494"/>
      <c r="E45" s="346"/>
      <c r="F45" s="346"/>
      <c r="G45" s="494"/>
      <c r="H45" s="486"/>
      <c r="I45" s="494"/>
      <c r="J45" s="346"/>
      <c r="K45" s="346"/>
      <c r="L45" s="494"/>
      <c r="M45" s="486"/>
      <c r="N45" s="147"/>
      <c r="O45" s="147"/>
      <c r="P45" s="147"/>
    </row>
    <row r="46" spans="1:16" ht="12.75">
      <c r="A46" s="335">
        <f>$D$4*3</f>
        <v>30</v>
      </c>
      <c r="B46" s="492">
        <f>$D$5*$D$6*2</f>
        <v>52</v>
      </c>
      <c r="C46" s="345">
        <f>$D$5*$D$6*5.6</f>
        <v>145.6</v>
      </c>
      <c r="D46" s="722">
        <f>$D$5*$D$6*6.5</f>
        <v>169</v>
      </c>
      <c r="E46" s="345">
        <f>$D$5*$D$6*5.8</f>
        <v>150.79999999999998</v>
      </c>
      <c r="F46" s="345">
        <f>$D$5*$D$6*5.2</f>
        <v>135.20000000000002</v>
      </c>
      <c r="G46" s="278">
        <f>$D$5*$D$6*2.9</f>
        <v>75.39999999999999</v>
      </c>
      <c r="H46" s="485">
        <f>$D$5*$D$6*(-0.3)</f>
        <v>-7.8</v>
      </c>
      <c r="I46" s="278">
        <f>$D$5*$D$6*(-3.4)</f>
        <v>-88.39999999999999</v>
      </c>
      <c r="J46" s="345">
        <f>$D$5*$D$6*(-5.9)</f>
        <v>-153.4</v>
      </c>
      <c r="K46" s="345">
        <f>$D$5*$D$6*(-7.5)</f>
        <v>-195</v>
      </c>
      <c r="L46" s="278">
        <f>$D$5*$D$6*(-7.9)</f>
        <v>-205.4</v>
      </c>
      <c r="M46" s="485">
        <f>$D$5*$D$6*(-3.4)</f>
        <v>-88.39999999999999</v>
      </c>
      <c r="N46" s="147"/>
      <c r="O46" s="147"/>
      <c r="P46" s="147"/>
    </row>
    <row r="47" spans="1:16" ht="12.75">
      <c r="A47" s="335">
        <f>$D$4*3.25</f>
        <v>32.5</v>
      </c>
      <c r="B47" s="492">
        <f>$D$5*$D$6*2.4</f>
        <v>62.4</v>
      </c>
      <c r="C47" s="345">
        <f>$D$5*$D$6*6.6</f>
        <v>171.6</v>
      </c>
      <c r="D47" s="278">
        <f>$D$5*$D$6*7.65</f>
        <v>198.9</v>
      </c>
      <c r="E47" s="345">
        <f>$D$5*$D$6*6.9</f>
        <v>179.4</v>
      </c>
      <c r="F47" s="345">
        <f>$D$5*$D$6*6.1</f>
        <v>158.6</v>
      </c>
      <c r="G47" s="278">
        <f>$D$5*$D$6*3.4</f>
        <v>88.39999999999999</v>
      </c>
      <c r="H47" s="485">
        <f>$D$5*$D$6*(-0.3)</f>
        <v>-7.8</v>
      </c>
      <c r="I47" s="278">
        <f>$D$5*$D$6*(-3.958)</f>
        <v>-102.908</v>
      </c>
      <c r="J47" s="345">
        <f>$D$5*$D$6*(-6.9)</f>
        <v>-179.4</v>
      </c>
      <c r="K47" s="345">
        <f>$D$5*$D$6*(-8.7)</f>
        <v>-226.2</v>
      </c>
      <c r="L47" s="278">
        <f>$D$5*$D$6*(-9.25)</f>
        <v>-240.5</v>
      </c>
      <c r="M47" s="485">
        <f>$D$5*$D$6*(-3.9)</f>
        <v>-101.39999999999999</v>
      </c>
      <c r="N47" s="147"/>
      <c r="O47" s="147"/>
      <c r="P47" s="147"/>
    </row>
    <row r="48" spans="1:16" ht="12.75">
      <c r="A48" s="335">
        <f>$D$4*3.5</f>
        <v>35</v>
      </c>
      <c r="B48" s="492">
        <f>$D$5*$D$6*2.8</f>
        <v>72.8</v>
      </c>
      <c r="C48" s="345">
        <f>$D$5*$D$6*7.7</f>
        <v>200.20000000000002</v>
      </c>
      <c r="D48" s="278">
        <f>$D$5*$D$6*8.9</f>
        <v>231.4</v>
      </c>
      <c r="E48" s="345">
        <f>$D$5*$D$6*8.1</f>
        <v>210.6</v>
      </c>
      <c r="F48" s="345">
        <f>$D$5*$D$6*7.17</f>
        <v>186.42</v>
      </c>
      <c r="G48" s="278">
        <f>$D$5*$D$6*4</f>
        <v>104</v>
      </c>
      <c r="H48" s="485">
        <f>$D$5*$D$6*(-0.3)</f>
        <v>-7.8</v>
      </c>
      <c r="I48" s="278">
        <f>$D$5*$D$6*(-4.5)</f>
        <v>-117</v>
      </c>
      <c r="J48" s="345">
        <f>$D$5*$D$6*(-7.9)</f>
        <v>-205.4</v>
      </c>
      <c r="K48" s="345">
        <f>$D$5*$D$6*(-10)</f>
        <v>-260</v>
      </c>
      <c r="L48" s="278">
        <f>$D$5*$D$6*(-10.66)</f>
        <v>-277.16</v>
      </c>
      <c r="M48" s="485">
        <f>$D$5*$D$6*(-4.5)</f>
        <v>-117</v>
      </c>
      <c r="N48" s="147"/>
      <c r="O48" s="147"/>
      <c r="P48" s="147"/>
    </row>
    <row r="49" spans="1:16" ht="12.75">
      <c r="A49" s="335">
        <f>$D$4*3.75</f>
        <v>37.5</v>
      </c>
      <c r="B49" s="492">
        <f>$D$5*$D$6*3.3</f>
        <v>85.8</v>
      </c>
      <c r="C49" s="345">
        <f>$D$5*$D$6*9</f>
        <v>234</v>
      </c>
      <c r="D49" s="278">
        <f>$D$5*$D$6*10.4</f>
        <v>270.40000000000003</v>
      </c>
      <c r="E49" s="345">
        <f>$D$5*$D$6*9.5</f>
        <v>247</v>
      </c>
      <c r="F49" s="345">
        <f>$D$5*$D$6*8.4</f>
        <v>218.4</v>
      </c>
      <c r="G49" s="278">
        <f>$D$5*$D$6*4.7</f>
        <v>122.2</v>
      </c>
      <c r="H49" s="485">
        <f aca="true" t="shared" si="2" ref="H49:H54">$D$5*$D$6*(-0.3)</f>
        <v>-7.8</v>
      </c>
      <c r="I49" s="278">
        <f>$D$5*$D$6*(-5)</f>
        <v>-130</v>
      </c>
      <c r="J49" s="345">
        <f>$D$5*$D$6*(-8.8)</f>
        <v>-228.8</v>
      </c>
      <c r="K49" s="345">
        <f>$D$5*$D$6*(-11.2)</f>
        <v>-291.2</v>
      </c>
      <c r="L49" s="278">
        <f>$D$5*$D$6*(-11.9)</f>
        <v>-309.40000000000003</v>
      </c>
      <c r="M49" s="485">
        <f>$D$5*$D$6*(-5)</f>
        <v>-130</v>
      </c>
      <c r="N49" s="147"/>
      <c r="O49" s="147"/>
      <c r="P49" s="147"/>
    </row>
    <row r="50" spans="1:16" ht="12.75">
      <c r="A50" s="335">
        <f>$D$4*4</f>
        <v>40</v>
      </c>
      <c r="B50" s="492">
        <f>$D$5*$D$6*3.85</f>
        <v>100.10000000000001</v>
      </c>
      <c r="C50" s="345">
        <f>$D$5*$D$6*10.5</f>
        <v>273</v>
      </c>
      <c r="D50" s="278">
        <f>$D$5*$D$6*12.1</f>
        <v>314.59999999999997</v>
      </c>
      <c r="E50" s="345">
        <f>$D$5*$D$6*11</f>
        <v>286</v>
      </c>
      <c r="F50" s="345">
        <f>$D$5*$D$6*9.7</f>
        <v>252.2</v>
      </c>
      <c r="G50" s="278">
        <f>$D$5*$D$6*5.4</f>
        <v>140.4</v>
      </c>
      <c r="H50" s="485">
        <f t="shared" si="2"/>
        <v>-7.8</v>
      </c>
      <c r="I50" s="278">
        <f>$D$5*$D$6*(-5.6)</f>
        <v>-145.6</v>
      </c>
      <c r="J50" s="345">
        <f>$D$5*$D$6*(-9.9)</f>
        <v>-257.40000000000003</v>
      </c>
      <c r="K50" s="345">
        <f>$D$5*$D$6*(-12.5)</f>
        <v>-325</v>
      </c>
      <c r="L50" s="278">
        <f>$D$5*$D$6*(-13.3)</f>
        <v>-345.8</v>
      </c>
      <c r="M50" s="485">
        <f>$D$5*$D$6*(-5.6)</f>
        <v>-145.6</v>
      </c>
      <c r="N50" s="147"/>
      <c r="O50" s="147"/>
      <c r="P50" s="147"/>
    </row>
    <row r="51" spans="1:16" ht="12.75">
      <c r="A51" s="335">
        <f>$D$4*4.25</f>
        <v>42.5</v>
      </c>
      <c r="B51" s="492">
        <f>$D$5*$D$6*4.4</f>
        <v>114.4</v>
      </c>
      <c r="C51" s="345">
        <f>$D$5*$D$6*12.06</f>
        <v>313.56</v>
      </c>
      <c r="D51" s="278">
        <f>$D$5*$D$6*13.9</f>
        <v>361.40000000000003</v>
      </c>
      <c r="E51" s="345">
        <f>$D$5*$D$6*12.6</f>
        <v>327.59999999999997</v>
      </c>
      <c r="F51" s="345">
        <f>$D$5*$D$6*11.2</f>
        <v>291.2</v>
      </c>
      <c r="G51" s="278">
        <f>$D$5*$D$6*6.2</f>
        <v>161.20000000000002</v>
      </c>
      <c r="H51" s="485">
        <f t="shared" si="2"/>
        <v>-7.8</v>
      </c>
      <c r="I51" s="278">
        <f>$D$5*$D$6*(-6.2)</f>
        <v>-161.20000000000002</v>
      </c>
      <c r="J51" s="345">
        <f>$D$5*$D$6*(-10.9)</f>
        <v>-283.40000000000003</v>
      </c>
      <c r="K51" s="345">
        <f>$D$5*$D$6*(-13.9)</f>
        <v>-361.40000000000003</v>
      </c>
      <c r="L51" s="278">
        <f>$D$5*$D$6*(-14.8)</f>
        <v>-384.8</v>
      </c>
      <c r="M51" s="485">
        <f>$D$5*$D$6*(-6.2)</f>
        <v>-161.20000000000002</v>
      </c>
      <c r="N51" s="147"/>
      <c r="O51" s="147"/>
      <c r="P51" s="147"/>
    </row>
    <row r="52" spans="1:16" ht="12.75">
      <c r="A52" s="335">
        <f>$D$4*4.5</f>
        <v>45</v>
      </c>
      <c r="B52" s="492">
        <f>$D$5*$D$6*5</f>
        <v>130</v>
      </c>
      <c r="C52" s="345">
        <f>$D$5*$D$6*13.7</f>
        <v>356.2</v>
      </c>
      <c r="D52" s="278">
        <f>$D$5*$D$6*15.9</f>
        <v>413.40000000000003</v>
      </c>
      <c r="E52" s="345">
        <f>$D$5*$D$6*14.4</f>
        <v>374.40000000000003</v>
      </c>
      <c r="F52" s="345">
        <f>$D$5*$D$6*12.8</f>
        <v>332.8</v>
      </c>
      <c r="G52" s="278">
        <f>$D$5*$D$6*6.9</f>
        <v>179.4</v>
      </c>
      <c r="H52" s="485">
        <f t="shared" si="2"/>
        <v>-7.8</v>
      </c>
      <c r="I52" s="278">
        <f>$D$5*$D$6*(-6.9)</f>
        <v>-179.4</v>
      </c>
      <c r="J52" s="345">
        <f>$D$5*$D$6*(-12)</f>
        <v>-312</v>
      </c>
      <c r="K52" s="345">
        <f>$D$5*$D$6*(-15.3)</f>
        <v>-397.8</v>
      </c>
      <c r="L52" s="278">
        <f>$D$5*$D$6*(-16.33)</f>
        <v>-424.5799999999999</v>
      </c>
      <c r="M52" s="485">
        <f>$D$5*$D$6*(-6.9)</f>
        <v>-179.4</v>
      </c>
      <c r="N52" s="147"/>
      <c r="O52" s="147"/>
      <c r="P52" s="147"/>
    </row>
    <row r="53" spans="1:16" ht="12.75">
      <c r="A53" s="335">
        <f>$D$4*4.75</f>
        <v>47.5</v>
      </c>
      <c r="B53" s="492">
        <f>$D$5*$D$6*5.7</f>
        <v>148.20000000000002</v>
      </c>
      <c r="C53" s="345">
        <f>$D$5*$D$6*15.6</f>
        <v>405.59999999999997</v>
      </c>
      <c r="D53" s="278">
        <f>$D$5*$D$6*18</f>
        <v>468</v>
      </c>
      <c r="E53" s="345">
        <f>$D$5*$D$6*16.3</f>
        <v>423.8</v>
      </c>
      <c r="F53" s="347">
        <f>$D$5*$D$6*14.5</f>
        <v>377</v>
      </c>
      <c r="G53" s="278">
        <f>$D$5*$D$6*8</f>
        <v>208</v>
      </c>
      <c r="H53" s="485">
        <f t="shared" si="2"/>
        <v>-7.8</v>
      </c>
      <c r="I53" s="278">
        <f>$D$5*$D$6*(-7.5)</f>
        <v>-195</v>
      </c>
      <c r="J53" s="345">
        <f>$D$5*$D$6*(-13.2)</f>
        <v>-343.2</v>
      </c>
      <c r="K53" s="345">
        <f>$D$5*$D$6*(-16.8)</f>
        <v>-436.8</v>
      </c>
      <c r="L53" s="278">
        <f>$D$5*$D$6*(-16.8)</f>
        <v>-436.8</v>
      </c>
      <c r="M53" s="485">
        <f>$D$5*$D$6*(-7.5)</f>
        <v>-195</v>
      </c>
      <c r="N53" s="147"/>
      <c r="O53" s="147"/>
      <c r="P53" s="147"/>
    </row>
    <row r="54" spans="1:16" ht="13.5" thickBot="1">
      <c r="A54" s="336">
        <f>$D$4*5</f>
        <v>50</v>
      </c>
      <c r="B54" s="495">
        <f>$D$5*$D$6*6.4</f>
        <v>166.4</v>
      </c>
      <c r="C54" s="497">
        <f>$D$5*$D$6*17.5</f>
        <v>455</v>
      </c>
      <c r="D54" s="496">
        <f>$D$5*$D$6*20.2</f>
        <v>525.1999999999999</v>
      </c>
      <c r="E54" s="497">
        <f>$D$5*$D$6*18.4</f>
        <v>478.4</v>
      </c>
      <c r="F54" s="497">
        <f>$D$5*$D$6*16.3</f>
        <v>423.8</v>
      </c>
      <c r="G54" s="496">
        <f>$D$5*$D$6*9</f>
        <v>234</v>
      </c>
      <c r="H54" s="487">
        <f t="shared" si="2"/>
        <v>-7.8</v>
      </c>
      <c r="I54" s="496">
        <f>$D$5*$D$6*(-8.2)</f>
        <v>-213.2</v>
      </c>
      <c r="J54" s="497">
        <f>$D$5*$D$6*(-14.4)</f>
        <v>-374.40000000000003</v>
      </c>
      <c r="K54" s="497">
        <f>$D$5*$D$6*(-12.3)</f>
        <v>-319.8</v>
      </c>
      <c r="L54" s="496">
        <f>$D$5*$D$6*(-18.3)</f>
        <v>-475.8</v>
      </c>
      <c r="M54" s="487">
        <f>$D$5*$D$6*(-8.2)</f>
        <v>-213.2</v>
      </c>
      <c r="N54" s="147"/>
      <c r="O54" s="147"/>
      <c r="P54" s="147"/>
    </row>
    <row r="55" spans="1:16" ht="12.75">
      <c r="A55" s="332"/>
      <c r="B55" s="332"/>
      <c r="C55" s="333" t="s">
        <v>133</v>
      </c>
      <c r="D55" s="332"/>
      <c r="E55" s="332"/>
      <c r="F55" s="332"/>
      <c r="G55" s="332"/>
      <c r="H55" s="332"/>
      <c r="I55" s="332"/>
      <c r="J55" s="332"/>
      <c r="K55" s="332"/>
      <c r="L55" s="332"/>
      <c r="M55" s="332"/>
      <c r="N55" s="147"/>
      <c r="O55" s="147"/>
      <c r="P55" s="147"/>
    </row>
    <row r="56" spans="1:16" ht="12.75">
      <c r="A56" s="332"/>
      <c r="B56" s="332"/>
      <c r="C56" s="333" t="s">
        <v>134</v>
      </c>
      <c r="D56" s="332"/>
      <c r="E56" s="332"/>
      <c r="F56" s="332"/>
      <c r="G56" s="332"/>
      <c r="H56" s="332"/>
      <c r="I56" s="332"/>
      <c r="J56" s="332"/>
      <c r="K56" s="332"/>
      <c r="L56" s="332"/>
      <c r="M56" s="332"/>
      <c r="N56" s="147"/>
      <c r="O56" s="147"/>
      <c r="P56" s="147"/>
    </row>
    <row r="57" spans="1:16" ht="12">
      <c r="A57" s="147"/>
      <c r="B57" s="147"/>
      <c r="C57" s="147"/>
      <c r="D57" s="147"/>
      <c r="E57" s="147"/>
      <c r="F57" s="147"/>
      <c r="G57" s="147"/>
      <c r="H57" s="147"/>
      <c r="I57" s="147"/>
      <c r="J57" s="147"/>
      <c r="K57" s="147"/>
      <c r="L57" s="147"/>
      <c r="M57" s="147"/>
      <c r="N57" s="147"/>
      <c r="O57" s="147"/>
      <c r="P57" s="147"/>
    </row>
    <row r="58" spans="1:16" ht="12">
      <c r="A58" s="147"/>
      <c r="B58" s="147"/>
      <c r="C58" s="147"/>
      <c r="D58" s="147"/>
      <c r="E58" s="147"/>
      <c r="F58" s="147"/>
      <c r="G58" s="147"/>
      <c r="H58" s="147"/>
      <c r="I58" s="147"/>
      <c r="J58" s="147"/>
      <c r="K58" s="147"/>
      <c r="L58" s="147"/>
      <c r="M58" s="147"/>
      <c r="N58" s="147"/>
      <c r="O58" s="147"/>
      <c r="P58" s="147"/>
    </row>
    <row r="59" spans="1:16" ht="12">
      <c r="A59" s="147"/>
      <c r="B59" s="147"/>
      <c r="C59" s="147"/>
      <c r="D59" s="147"/>
      <c r="E59" s="147"/>
      <c r="F59" s="147"/>
      <c r="G59" s="147"/>
      <c r="H59" s="147"/>
      <c r="I59" s="147"/>
      <c r="J59" s="147"/>
      <c r="K59" s="147"/>
      <c r="L59" s="147"/>
      <c r="M59" s="147"/>
      <c r="N59" s="147"/>
      <c r="O59" s="147"/>
      <c r="P59" s="147"/>
    </row>
    <row r="60" spans="1:16" ht="12">
      <c r="A60" s="147"/>
      <c r="B60" s="147"/>
      <c r="C60" s="147"/>
      <c r="D60" s="147"/>
      <c r="E60" s="147"/>
      <c r="F60" s="147"/>
      <c r="G60" s="147"/>
      <c r="H60" s="147"/>
      <c r="I60" s="147"/>
      <c r="J60" s="147"/>
      <c r="K60" s="147"/>
      <c r="L60" s="147"/>
      <c r="M60" s="147"/>
      <c r="N60" s="147"/>
      <c r="O60" s="147"/>
      <c r="P60" s="147"/>
    </row>
  </sheetData>
  <sheetProtection/>
  <mergeCells count="1">
    <mergeCell ref="F3:I4"/>
  </mergeCells>
  <printOptions/>
  <pageMargins left="0" right="0" top="0.5" bottom="1" header="0" footer="0.5"/>
  <pageSetup fitToHeight="1" fitToWidth="1" horizontalDpi="600" verticalDpi="600" orientation="portrait" scale="92" r:id="rId1"/>
  <headerFooter alignWithMargins="0">
    <oddFooter>&amp;R&amp;D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58"/>
  <sheetViews>
    <sheetView zoomScalePageLayoutView="0" workbookViewId="0" topLeftCell="A1">
      <pane xSplit="1" ySplit="9" topLeftCell="B25" activePane="bottomRight" state="frozen"/>
      <selection pane="topLeft" activeCell="A1" sqref="A1"/>
      <selection pane="topRight" activeCell="B1" sqref="B1"/>
      <selection pane="bottomLeft" activeCell="A10" sqref="A10"/>
      <selection pane="bottomRight" activeCell="N32" sqref="N32"/>
    </sheetView>
  </sheetViews>
  <sheetFormatPr defaultColWidth="9.00390625" defaultRowHeight="12.75"/>
  <sheetData>
    <row r="1" spans="1:15" ht="12.75">
      <c r="A1" s="332"/>
      <c r="B1" s="339" t="s">
        <v>113</v>
      </c>
      <c r="C1" s="332"/>
      <c r="D1" s="332"/>
      <c r="E1" s="332"/>
      <c r="F1" s="332"/>
      <c r="G1" s="332"/>
      <c r="H1" s="332"/>
      <c r="I1" s="147" t="str">
        <f>'RACE '!J2</f>
        <v>xx/xx/xx</v>
      </c>
      <c r="J1" s="332"/>
      <c r="K1" s="332"/>
      <c r="L1" s="332"/>
      <c r="M1" s="332"/>
      <c r="N1" s="147"/>
      <c r="O1" s="148" t="s">
        <v>114</v>
      </c>
    </row>
    <row r="2" spans="1:15" ht="13.5" thickBot="1">
      <c r="A2" s="332"/>
      <c r="B2" s="333" t="s">
        <v>115</v>
      </c>
      <c r="C2" s="332"/>
      <c r="D2" s="332"/>
      <c r="E2" s="332"/>
      <c r="F2" s="332"/>
      <c r="G2" s="332"/>
      <c r="H2" s="332"/>
      <c r="I2" s="332"/>
      <c r="J2" s="332"/>
      <c r="K2" s="332"/>
      <c r="L2" s="332"/>
      <c r="M2" s="332"/>
      <c r="N2" s="147"/>
      <c r="O2" s="147"/>
    </row>
    <row r="3" spans="1:15" ht="12.75">
      <c r="A3" s="332"/>
      <c r="B3" s="148" t="s">
        <v>100</v>
      </c>
      <c r="C3" s="147"/>
      <c r="D3" s="344" t="str">
        <f>'RACE '!A4</f>
        <v>Boat Name</v>
      </c>
      <c r="E3" s="147"/>
      <c r="F3" s="1618" t="s">
        <v>150</v>
      </c>
      <c r="G3" s="1624"/>
      <c r="H3" s="1620"/>
      <c r="I3" s="332"/>
      <c r="J3" s="332"/>
      <c r="K3" s="332"/>
      <c r="L3" s="332"/>
      <c r="M3" s="332"/>
      <c r="N3" s="147"/>
      <c r="O3" s="147"/>
    </row>
    <row r="4" spans="1:15" ht="13.5" thickBot="1">
      <c r="A4" s="332"/>
      <c r="B4" s="148" t="s">
        <v>116</v>
      </c>
      <c r="C4" s="147"/>
      <c r="D4" s="149">
        <f>'RACE '!J5</f>
        <v>7</v>
      </c>
      <c r="E4" s="147"/>
      <c r="F4" s="1625"/>
      <c r="G4" s="1626"/>
      <c r="H4" s="1623"/>
      <c r="I4" s="332"/>
      <c r="J4" s="332"/>
      <c r="K4" s="332"/>
      <c r="L4" s="332"/>
      <c r="M4" s="332"/>
      <c r="N4" s="147"/>
      <c r="O4" s="147"/>
    </row>
    <row r="5" spans="1:15" ht="12.75">
      <c r="A5" s="332"/>
      <c r="B5" s="148" t="s">
        <v>117</v>
      </c>
      <c r="C5" s="147"/>
      <c r="D5" s="150">
        <f>'RACE '!I5/100</f>
        <v>10</v>
      </c>
      <c r="E5" s="147"/>
      <c r="F5" s="147"/>
      <c r="G5" s="148"/>
      <c r="H5" s="147"/>
      <c r="I5" s="332"/>
      <c r="J5" s="332"/>
      <c r="K5" s="332"/>
      <c r="L5" s="332"/>
      <c r="M5" s="332"/>
      <c r="N5" s="147"/>
      <c r="O5" s="147"/>
    </row>
    <row r="6" spans="1:15" ht="12.75">
      <c r="A6" s="332"/>
      <c r="B6" s="148" t="s">
        <v>118</v>
      </c>
      <c r="C6" s="147"/>
      <c r="D6" s="552">
        <v>1.3</v>
      </c>
      <c r="E6" s="147"/>
      <c r="F6" s="147"/>
      <c r="G6" s="147"/>
      <c r="H6" s="147"/>
      <c r="I6" s="332"/>
      <c r="J6" s="332"/>
      <c r="K6" s="332"/>
      <c r="L6" s="332"/>
      <c r="M6" s="332"/>
      <c r="N6" s="147"/>
      <c r="O6" s="147"/>
    </row>
    <row r="7" spans="1:15" ht="13.5" thickBot="1">
      <c r="A7" s="332"/>
      <c r="B7" s="332"/>
      <c r="C7" s="332"/>
      <c r="D7" s="332"/>
      <c r="E7" s="332"/>
      <c r="F7" s="332"/>
      <c r="G7" s="332"/>
      <c r="H7" s="332"/>
      <c r="I7" s="332"/>
      <c r="J7" s="332"/>
      <c r="K7" s="332"/>
      <c r="L7" s="332"/>
      <c r="M7" s="332"/>
      <c r="N7" s="147"/>
      <c r="O7" s="147"/>
    </row>
    <row r="8" spans="1:15" ht="13.5" thickBot="1">
      <c r="A8" s="337" t="s">
        <v>119</v>
      </c>
      <c r="B8" s="338"/>
      <c r="C8" s="338"/>
      <c r="D8" s="338"/>
      <c r="E8" s="339" t="s">
        <v>165</v>
      </c>
      <c r="F8" s="338"/>
      <c r="G8" s="338"/>
      <c r="H8" s="338"/>
      <c r="I8" s="338"/>
      <c r="J8" s="338"/>
      <c r="K8" s="338"/>
      <c r="L8" s="338"/>
      <c r="M8" s="338"/>
      <c r="N8" s="340"/>
      <c r="O8" s="340"/>
    </row>
    <row r="9" spans="1:15" ht="13.5" thickBot="1">
      <c r="A9" s="341" t="s">
        <v>120</v>
      </c>
      <c r="B9" s="342" t="s">
        <v>121</v>
      </c>
      <c r="C9" s="342" t="s">
        <v>122</v>
      </c>
      <c r="D9" s="342" t="s">
        <v>123</v>
      </c>
      <c r="E9" s="348" t="s">
        <v>124</v>
      </c>
      <c r="F9" s="342" t="s">
        <v>125</v>
      </c>
      <c r="G9" s="342" t="s">
        <v>126</v>
      </c>
      <c r="H9" s="516" t="s">
        <v>127</v>
      </c>
      <c r="I9" s="342" t="s">
        <v>128</v>
      </c>
      <c r="J9" s="342" t="s">
        <v>129</v>
      </c>
      <c r="K9" s="348" t="s">
        <v>130</v>
      </c>
      <c r="L9" s="342" t="s">
        <v>131</v>
      </c>
      <c r="M9" s="516" t="s">
        <v>132</v>
      </c>
      <c r="N9" s="343"/>
      <c r="O9" s="343"/>
    </row>
    <row r="10" spans="1:15" ht="12.75">
      <c r="A10" s="335">
        <f>$D$4*0</f>
        <v>0</v>
      </c>
      <c r="B10" s="334">
        <f aca="true" t="shared" si="0" ref="B10:M13">$D$5*$D$6*(-0.3)</f>
        <v>-3.9</v>
      </c>
      <c r="C10" s="334">
        <f t="shared" si="0"/>
        <v>-3.9</v>
      </c>
      <c r="D10" s="334">
        <f t="shared" si="0"/>
        <v>-3.9</v>
      </c>
      <c r="E10" s="345">
        <f t="shared" si="0"/>
        <v>-3.9</v>
      </c>
      <c r="F10" s="334">
        <f t="shared" si="0"/>
        <v>-3.9</v>
      </c>
      <c r="G10" s="334">
        <f t="shared" si="0"/>
        <v>-3.9</v>
      </c>
      <c r="H10" s="485">
        <f t="shared" si="0"/>
        <v>-3.9</v>
      </c>
      <c r="I10" s="334">
        <f t="shared" si="0"/>
        <v>-3.9</v>
      </c>
      <c r="J10" s="334">
        <f t="shared" si="0"/>
        <v>-3.9</v>
      </c>
      <c r="K10" s="345">
        <f t="shared" si="0"/>
        <v>-3.9</v>
      </c>
      <c r="L10" s="334">
        <f t="shared" si="0"/>
        <v>-3.9</v>
      </c>
      <c r="M10" s="485">
        <f t="shared" si="0"/>
        <v>-3.9</v>
      </c>
      <c r="N10" s="147"/>
      <c r="O10" s="147"/>
    </row>
    <row r="11" spans="1:15" ht="12.75">
      <c r="A11" s="335">
        <f>$D$4*0.1</f>
        <v>0.7000000000000001</v>
      </c>
      <c r="B11" s="334">
        <f aca="true" t="shared" si="1" ref="B11:G13">$D$5*$D$6*(-0.2)</f>
        <v>-2.6</v>
      </c>
      <c r="C11" s="334">
        <f t="shared" si="1"/>
        <v>-2.6</v>
      </c>
      <c r="D11" s="334">
        <f t="shared" si="1"/>
        <v>-2.6</v>
      </c>
      <c r="E11" s="345">
        <f t="shared" si="1"/>
        <v>-2.6</v>
      </c>
      <c r="F11" s="334">
        <f t="shared" si="1"/>
        <v>-2.6</v>
      </c>
      <c r="G11" s="334">
        <f t="shared" si="1"/>
        <v>-2.6</v>
      </c>
      <c r="H11" s="485">
        <f t="shared" si="0"/>
        <v>-3.9</v>
      </c>
      <c r="I11" s="334">
        <f t="shared" si="0"/>
        <v>-3.9</v>
      </c>
      <c r="J11" s="334">
        <f t="shared" si="0"/>
        <v>-3.9</v>
      </c>
      <c r="K11" s="345">
        <f t="shared" si="0"/>
        <v>-3.9</v>
      </c>
      <c r="L11" s="334">
        <f t="shared" si="0"/>
        <v>-3.9</v>
      </c>
      <c r="M11" s="485">
        <f t="shared" si="0"/>
        <v>-3.9</v>
      </c>
      <c r="N11" s="147"/>
      <c r="O11" s="147"/>
    </row>
    <row r="12" spans="1:15" ht="12.75">
      <c r="A12" s="335">
        <f>$D$4*0.2</f>
        <v>1.4000000000000001</v>
      </c>
      <c r="B12" s="334">
        <f t="shared" si="1"/>
        <v>-2.6</v>
      </c>
      <c r="C12" s="334">
        <f t="shared" si="1"/>
        <v>-2.6</v>
      </c>
      <c r="D12" s="334">
        <f t="shared" si="1"/>
        <v>-2.6</v>
      </c>
      <c r="E12" s="345">
        <f t="shared" si="1"/>
        <v>-2.6</v>
      </c>
      <c r="F12" s="334">
        <f t="shared" si="1"/>
        <v>-2.6</v>
      </c>
      <c r="G12" s="334">
        <f t="shared" si="1"/>
        <v>-2.6</v>
      </c>
      <c r="H12" s="485">
        <f t="shared" si="0"/>
        <v>-3.9</v>
      </c>
      <c r="I12" s="334">
        <f t="shared" si="0"/>
        <v>-3.9</v>
      </c>
      <c r="J12" s="334">
        <f t="shared" si="0"/>
        <v>-3.9</v>
      </c>
      <c r="K12" s="345">
        <f t="shared" si="0"/>
        <v>-3.9</v>
      </c>
      <c r="L12" s="334">
        <f t="shared" si="0"/>
        <v>-3.9</v>
      </c>
      <c r="M12" s="485">
        <f t="shared" si="0"/>
        <v>-3.9</v>
      </c>
      <c r="N12" s="147"/>
      <c r="O12" s="147"/>
    </row>
    <row r="13" spans="1:15" ht="12.75">
      <c r="A13" s="335">
        <f>$D$4*0.3</f>
        <v>2.1</v>
      </c>
      <c r="B13" s="334">
        <f t="shared" si="1"/>
        <v>-2.6</v>
      </c>
      <c r="C13" s="334">
        <f t="shared" si="1"/>
        <v>-2.6</v>
      </c>
      <c r="D13" s="334">
        <f t="shared" si="1"/>
        <v>-2.6</v>
      </c>
      <c r="E13" s="345">
        <f t="shared" si="1"/>
        <v>-2.6</v>
      </c>
      <c r="F13" s="334">
        <f t="shared" si="1"/>
        <v>-2.6</v>
      </c>
      <c r="G13" s="334">
        <f t="shared" si="1"/>
        <v>-2.6</v>
      </c>
      <c r="H13" s="485">
        <f t="shared" si="0"/>
        <v>-3.9</v>
      </c>
      <c r="I13" s="334">
        <f t="shared" si="0"/>
        <v>-3.9</v>
      </c>
      <c r="J13" s="334">
        <f t="shared" si="0"/>
        <v>-3.9</v>
      </c>
      <c r="K13" s="345">
        <f t="shared" si="0"/>
        <v>-3.9</v>
      </c>
      <c r="L13" s="334">
        <f t="shared" si="0"/>
        <v>-3.9</v>
      </c>
      <c r="M13" s="485">
        <f t="shared" si="0"/>
        <v>-3.9</v>
      </c>
      <c r="N13" s="147"/>
      <c r="O13" s="147"/>
    </row>
    <row r="14" spans="1:15" ht="12.75">
      <c r="A14" s="335">
        <f>$D$4*0.4</f>
        <v>2.8000000000000003</v>
      </c>
      <c r="B14" s="334">
        <f>$D$5*$D$6*(-0.2)</f>
        <v>-2.6</v>
      </c>
      <c r="C14" s="334">
        <f>$D$5*$D$6*(-0.1)</f>
        <v>-1.3</v>
      </c>
      <c r="D14" s="334">
        <f>$D$5*$D$6*(-0.1)</f>
        <v>-1.3</v>
      </c>
      <c r="E14" s="345">
        <f>$D$5*$D$6*(-0.1)</f>
        <v>-1.3</v>
      </c>
      <c r="F14" s="334">
        <f>$D$5*$D$6*(-0.2)</f>
        <v>-2.6</v>
      </c>
      <c r="G14" s="334">
        <f>$D$5*$D$6*(-0.2)</f>
        <v>-2.6</v>
      </c>
      <c r="H14" s="485">
        <f>$D$5*$D$6*(-0.3)</f>
        <v>-3.9</v>
      </c>
      <c r="I14" s="334">
        <f>$D$5*$D$6*(-0.3)</f>
        <v>-3.9</v>
      </c>
      <c r="J14" s="334">
        <f>$D$5*$D$6*(-0.4)</f>
        <v>-5.2</v>
      </c>
      <c r="K14" s="345">
        <f>$D$5*$D$6*(-0.4)</f>
        <v>-5.2</v>
      </c>
      <c r="L14" s="334">
        <f>$D$5*$D$6*(-0.4)</f>
        <v>-5.2</v>
      </c>
      <c r="M14" s="485">
        <f>$D$5*$D$6*(-0.3)</f>
        <v>-3.9</v>
      </c>
      <c r="N14" s="147"/>
      <c r="O14" s="147"/>
    </row>
    <row r="15" spans="1:15" ht="12.75">
      <c r="A15" s="335"/>
      <c r="B15" s="332"/>
      <c r="C15" s="332"/>
      <c r="D15" s="332"/>
      <c r="E15" s="346"/>
      <c r="F15" s="332"/>
      <c r="G15" s="332"/>
      <c r="H15" s="486"/>
      <c r="I15" s="332"/>
      <c r="J15" s="332"/>
      <c r="K15" s="346"/>
      <c r="L15" s="332"/>
      <c r="M15" s="486"/>
      <c r="N15" s="147"/>
      <c r="O15" s="147"/>
    </row>
    <row r="16" spans="1:15" ht="12.75">
      <c r="A16" s="335">
        <f>$D$4*0.5</f>
        <v>3.5</v>
      </c>
      <c r="B16" s="334">
        <f>$D$5*$D$6*(-0.2)</f>
        <v>-2.6</v>
      </c>
      <c r="C16" s="334">
        <f>$D$5*$D$6*(-0.1)</f>
        <v>-1.3</v>
      </c>
      <c r="D16" s="334">
        <f>$D$5*$D$6*(-0.1)</f>
        <v>-1.3</v>
      </c>
      <c r="E16" s="345">
        <f>$D$5*$D$6*(-0.1)</f>
        <v>-1.3</v>
      </c>
      <c r="F16" s="334">
        <f>$D$5*$D$6*(-0.1)</f>
        <v>-1.3</v>
      </c>
      <c r="G16" s="334">
        <f>$D$5*$D$6*(-0.2)</f>
        <v>-2.6</v>
      </c>
      <c r="H16" s="485">
        <f>$D$5*$D$6*(-0.3)</f>
        <v>-3.9</v>
      </c>
      <c r="I16" s="334">
        <f>$D$5*$D$6*(-0.3)</f>
        <v>-3.9</v>
      </c>
      <c r="J16" s="334">
        <f>$D$5*$D$6*(-0.4)</f>
        <v>-5.2</v>
      </c>
      <c r="K16" s="345">
        <f>$D$5*$D$6*(-0.5)</f>
        <v>-6.5</v>
      </c>
      <c r="L16" s="334">
        <f>$D$5*$D$6*(-0.5)</f>
        <v>-6.5</v>
      </c>
      <c r="M16" s="485">
        <f>$D$5*$D$6*(-0.3)</f>
        <v>-3.9</v>
      </c>
      <c r="N16" s="147"/>
      <c r="O16" s="147"/>
    </row>
    <row r="17" spans="1:15" ht="12.75">
      <c r="A17" s="335">
        <f>$D$4*0.6</f>
        <v>4.2</v>
      </c>
      <c r="B17" s="334">
        <f>$D$5*$D$6*(-0.2)</f>
        <v>-2.6</v>
      </c>
      <c r="C17" s="334">
        <f>$D$5*$D$6*0</f>
        <v>0</v>
      </c>
      <c r="D17" s="334">
        <f>$D$5*$D$6*0</f>
        <v>0</v>
      </c>
      <c r="E17" s="345">
        <f>$D$5*$D$6*0</f>
        <v>0</v>
      </c>
      <c r="F17" s="334">
        <f>$D$5*$D$6*0</f>
        <v>0</v>
      </c>
      <c r="G17" s="334">
        <f>$D$5*$D$6*(-0.1)</f>
        <v>-1.3</v>
      </c>
      <c r="H17" s="485">
        <f>$D$5*$D$6*(-0.3)</f>
        <v>-3.9</v>
      </c>
      <c r="I17" s="334">
        <f>$D$5*$D$6*(-0.4)</f>
        <v>-5.2</v>
      </c>
      <c r="J17" s="334">
        <f>$D$5*$D$6*(-0.5)</f>
        <v>-6.5</v>
      </c>
      <c r="K17" s="345">
        <f>$D$5*$D$6*(-0.5)</f>
        <v>-6.5</v>
      </c>
      <c r="L17" s="334">
        <f>$D$5*$D$6*(-0.6)</f>
        <v>-7.8</v>
      </c>
      <c r="M17" s="485">
        <f>$D$5*$D$6*(-0.4)</f>
        <v>-5.2</v>
      </c>
      <c r="N17" s="147"/>
      <c r="O17" s="147"/>
    </row>
    <row r="18" spans="1:15" ht="12.75">
      <c r="A18" s="335">
        <f>$D$4*0.7</f>
        <v>4.8999999999999995</v>
      </c>
      <c r="B18" s="334">
        <f>$D$5*$D$6*(-0.1)</f>
        <v>-1.3</v>
      </c>
      <c r="C18" s="334">
        <f>$D$5*$D$6*0.1</f>
        <v>1.3</v>
      </c>
      <c r="D18" s="334">
        <f>$D$5*$D$6*0.1</f>
        <v>1.3</v>
      </c>
      <c r="E18" s="345">
        <f>$D$5*$D$6*0.1</f>
        <v>1.3</v>
      </c>
      <c r="F18" s="334">
        <f>$D$5*$D$6*0</f>
        <v>0</v>
      </c>
      <c r="G18" s="334">
        <f>$D$5*$D$6*(-0.1)</f>
        <v>-1.3</v>
      </c>
      <c r="H18" s="485">
        <f>$D$5*$D$6*(-0.3)</f>
        <v>-3.9</v>
      </c>
      <c r="I18" s="334">
        <f>$D$5*$D$6*(-0.4)</f>
        <v>-5.2</v>
      </c>
      <c r="J18" s="334">
        <f>$D$5*$D$6*(-0.6)</f>
        <v>-7.8</v>
      </c>
      <c r="K18" s="345">
        <f>$D$5*$D$6*(-0.6)</f>
        <v>-7.8</v>
      </c>
      <c r="L18" s="334">
        <f>$D$5*$D$6*(-0.7)</f>
        <v>-9.1</v>
      </c>
      <c r="M18" s="485">
        <f>$D$5*$D$6*(-0.4)</f>
        <v>-5.2</v>
      </c>
      <c r="N18" s="147"/>
      <c r="O18" s="147"/>
    </row>
    <row r="19" spans="1:15" ht="12.75">
      <c r="A19" s="335">
        <f>$D$4*0.8</f>
        <v>5.6000000000000005</v>
      </c>
      <c r="B19" s="334">
        <f>$D$5*$D$6*(-0.1)</f>
        <v>-1.3</v>
      </c>
      <c r="C19" s="334">
        <f>$D$5*$D$6*0.2</f>
        <v>2.6</v>
      </c>
      <c r="D19" s="334">
        <f>$D$5*$D$6*0.2</f>
        <v>2.6</v>
      </c>
      <c r="E19" s="345">
        <f>$D$5*$D$6*0.2</f>
        <v>2.6</v>
      </c>
      <c r="F19" s="334">
        <f>$D$5*$D$6*0.1</f>
        <v>1.3</v>
      </c>
      <c r="G19" s="334">
        <f>$D$5*$D$6*0</f>
        <v>0</v>
      </c>
      <c r="H19" s="485">
        <f>$D$5*$D$6*(-0.3)</f>
        <v>-3.9</v>
      </c>
      <c r="I19" s="334">
        <f>$D$5*$D$6*(-0.5)</f>
        <v>-6.5</v>
      </c>
      <c r="J19" s="334">
        <f>$D$5*$D$6*(-0.7)</f>
        <v>-9.1</v>
      </c>
      <c r="K19" s="345">
        <f>$D$5*$D$6*(-0.8)</f>
        <v>-10.4</v>
      </c>
      <c r="L19" s="334">
        <f>$D$5*$D$6*(-0.8)</f>
        <v>-10.4</v>
      </c>
      <c r="M19" s="485">
        <f>$D$5*$D$6*(-0.5)</f>
        <v>-6.5</v>
      </c>
      <c r="N19" s="147"/>
      <c r="O19" s="147"/>
    </row>
    <row r="20" spans="1:15" ht="12.75">
      <c r="A20" s="335">
        <f>$D$4*0.9</f>
        <v>6.3</v>
      </c>
      <c r="B20" s="334">
        <f>$D$5*$D$6*0</f>
        <v>0</v>
      </c>
      <c r="C20" s="334">
        <f>$D$5*$D$6*(0.3)</f>
        <v>3.9</v>
      </c>
      <c r="D20" s="334">
        <f>$D$5*$D$6*(0.4)</f>
        <v>5.2</v>
      </c>
      <c r="E20" s="345">
        <f>$D$5*$D$6*(0.3)</f>
        <v>3.9</v>
      </c>
      <c r="F20" s="334">
        <f>$D$5*$D$6*(0.2)</f>
        <v>2.6</v>
      </c>
      <c r="G20" s="334">
        <f>$D$5*$D$6*0</f>
        <v>0</v>
      </c>
      <c r="H20" s="485">
        <f>$D$5*$D$6*(-0.3)</f>
        <v>-3.9</v>
      </c>
      <c r="I20" s="334">
        <f>$D$5*$D$6*(-0.5)</f>
        <v>-6.5</v>
      </c>
      <c r="J20" s="334">
        <f>$D$5*$D$6*(-0.8)</f>
        <v>-10.4</v>
      </c>
      <c r="K20" s="345">
        <f>$D$5*$D$6*(-0.9)</f>
        <v>-11.700000000000001</v>
      </c>
      <c r="L20" s="334">
        <f>$D$5*$D$6*(-0.9)</f>
        <v>-11.700000000000001</v>
      </c>
      <c r="M20" s="485">
        <f>$D$5*$D$6*(-0.5)</f>
        <v>-6.5</v>
      </c>
      <c r="N20" s="147"/>
      <c r="O20" s="147"/>
    </row>
    <row r="21" spans="1:15" ht="12.75">
      <c r="A21" s="335"/>
      <c r="B21" s="332"/>
      <c r="C21" s="332"/>
      <c r="D21" s="332"/>
      <c r="E21" s="346"/>
      <c r="F21" s="332"/>
      <c r="G21" s="332"/>
      <c r="H21" s="486"/>
      <c r="I21" s="332"/>
      <c r="J21" s="332"/>
      <c r="K21" s="346"/>
      <c r="L21" s="332"/>
      <c r="M21" s="486"/>
      <c r="N21" s="147"/>
      <c r="O21" s="147"/>
    </row>
    <row r="22" spans="1:15" ht="12.75">
      <c r="A22" s="335">
        <f>$D$4*1</f>
        <v>7</v>
      </c>
      <c r="B22" s="334">
        <f>$D$5*$D$6*0</f>
        <v>0</v>
      </c>
      <c r="C22" s="334">
        <f>$D$5*$D$6*0.4</f>
        <v>5.2</v>
      </c>
      <c r="D22" s="334">
        <f>$D$5*$D$6*0.5</f>
        <v>6.5</v>
      </c>
      <c r="E22" s="345">
        <f>$D$5*$D$6*0.4</f>
        <v>5.2</v>
      </c>
      <c r="F22" s="334">
        <f>$D$5*$D$6*0.4</f>
        <v>5.2</v>
      </c>
      <c r="G22" s="334">
        <f>$D$5*$D$6*0.1</f>
        <v>1.3</v>
      </c>
      <c r="H22" s="485">
        <f>$D$5*$D$6*(-0.3)</f>
        <v>-3.9</v>
      </c>
      <c r="I22" s="334">
        <f>$D$5*$D$6*(-0.6)</f>
        <v>-7.8</v>
      </c>
      <c r="J22" s="334">
        <f>$D$5*$D$6*(-0.9)</f>
        <v>-11.700000000000001</v>
      </c>
      <c r="K22" s="345">
        <f>$D$5*$D$6*(-1.1)</f>
        <v>-14.3</v>
      </c>
      <c r="L22" s="334">
        <f>$D$5*$D$6*(-1.1)</f>
        <v>-14.3</v>
      </c>
      <c r="M22" s="485">
        <f>$D$5*$D$6*(-0.6)</f>
        <v>-7.8</v>
      </c>
      <c r="N22" s="147"/>
      <c r="O22" s="147"/>
    </row>
    <row r="23" spans="1:15" ht="12.75">
      <c r="A23" s="335">
        <f>$D$4*1.1</f>
        <v>7.700000000000001</v>
      </c>
      <c r="B23" s="334">
        <f>$D$5*$D$6*0.1</f>
        <v>1.3</v>
      </c>
      <c r="C23" s="334">
        <f>$D$5*$D$6*0.5</f>
        <v>6.5</v>
      </c>
      <c r="D23" s="334">
        <f>$D$5*$D$6*0.7</f>
        <v>9.1</v>
      </c>
      <c r="E23" s="345">
        <f>$D$5*$D$6*0.6</f>
        <v>7.8</v>
      </c>
      <c r="F23" s="334">
        <f>$D$5*$D$6*0.5</f>
        <v>6.5</v>
      </c>
      <c r="G23" s="334">
        <f>$D$5*$D$6*0.2</f>
        <v>2.6</v>
      </c>
      <c r="H23" s="485">
        <f>$D$5*$D$6*(-0.3)</f>
        <v>-3.9</v>
      </c>
      <c r="I23" s="334">
        <f>$D$5*$D$6*(-0.7)</f>
        <v>-9.1</v>
      </c>
      <c r="J23" s="334">
        <f>$D$5*$D$6*(-1)</f>
        <v>-13</v>
      </c>
      <c r="K23" s="345">
        <f>$D$5*$D$6*(-1.2)</f>
        <v>-15.6</v>
      </c>
      <c r="L23" s="334">
        <f>$D$5*$D$6*(-1.3)</f>
        <v>-16.900000000000002</v>
      </c>
      <c r="M23" s="485">
        <f>$D$5*$D$6*(-0.7)</f>
        <v>-9.1</v>
      </c>
      <c r="N23" s="147"/>
      <c r="O23" s="147"/>
    </row>
    <row r="24" spans="1:15" ht="12.75">
      <c r="A24" s="335">
        <f>$D$4*1.2</f>
        <v>8.4</v>
      </c>
      <c r="B24" s="334">
        <f>$D$5*$D$6*0.1</f>
        <v>1.3</v>
      </c>
      <c r="C24" s="334">
        <f>$D$5*$D$6*0.7</f>
        <v>9.1</v>
      </c>
      <c r="D24" s="334">
        <f>$D$5*$D$6*0.8</f>
        <v>10.4</v>
      </c>
      <c r="E24" s="345">
        <f>$D$5*$D$6*0.7</f>
        <v>9.1</v>
      </c>
      <c r="F24" s="334">
        <f>$D$5*$D$6*0.6</f>
        <v>7.8</v>
      </c>
      <c r="G24" s="334">
        <f>$D$5*$D$6*0.3</f>
        <v>3.9</v>
      </c>
      <c r="H24" s="485">
        <f>$D$5*$D$6*(-0.3)</f>
        <v>-3.9</v>
      </c>
      <c r="I24" s="334">
        <f>$D$5*$D$6*(-0.8)</f>
        <v>-10.4</v>
      </c>
      <c r="J24" s="334">
        <f>$D$5*$D$6*(-1.2)</f>
        <v>-15.6</v>
      </c>
      <c r="K24" s="345">
        <f>$D$5*$D$6*(-1.4)</f>
        <v>-18.2</v>
      </c>
      <c r="L24" s="334">
        <f>$D$5*$D$6*(-1.5)</f>
        <v>-19.5</v>
      </c>
      <c r="M24" s="485">
        <f>$D$5*$D$6*(-0.8)</f>
        <v>-10.4</v>
      </c>
      <c r="N24" s="147"/>
      <c r="O24" s="147"/>
    </row>
    <row r="25" spans="1:15" ht="12.75">
      <c r="A25" s="335">
        <f>$D$4*1.3</f>
        <v>9.1</v>
      </c>
      <c r="B25" s="334">
        <f>$D$5*$D$6*0.2</f>
        <v>2.6</v>
      </c>
      <c r="C25" s="334">
        <f>$D$5*$D$6*0.8</f>
        <v>10.4</v>
      </c>
      <c r="D25" s="334">
        <f>$D$5*$D$6*1</f>
        <v>13</v>
      </c>
      <c r="E25" s="345">
        <f>$D$5*$D$6*0.9</f>
        <v>11.700000000000001</v>
      </c>
      <c r="F25" s="334">
        <f>$D$5*$D$6*0.8</f>
        <v>10.4</v>
      </c>
      <c r="G25" s="334">
        <f>$D$5*$D$6*0.3</f>
        <v>3.9</v>
      </c>
      <c r="H25" s="485">
        <f>$D$5*$D$6*(-0.3)</f>
        <v>-3.9</v>
      </c>
      <c r="I25" s="334">
        <f>$D$5*$D$6*(-0.8)</f>
        <v>-10.4</v>
      </c>
      <c r="J25" s="334">
        <f>$D$5*$D$6*(-1.3)</f>
        <v>-16.900000000000002</v>
      </c>
      <c r="K25" s="345">
        <f>$D$5*$D$6*(-1.6)</f>
        <v>-20.8</v>
      </c>
      <c r="L25" s="334">
        <f>$D$5*$D$6*(-1.7)</f>
        <v>-22.099999999999998</v>
      </c>
      <c r="M25" s="485">
        <f>$D$5*$D$6*(-0.8)</f>
        <v>-10.4</v>
      </c>
      <c r="N25" s="147"/>
      <c r="O25" s="147"/>
    </row>
    <row r="26" spans="1:15" ht="12.75">
      <c r="A26" s="335">
        <f>$D$4*1.4</f>
        <v>9.799999999999999</v>
      </c>
      <c r="B26" s="334">
        <f>$D$5*$D$6*0.2</f>
        <v>2.6</v>
      </c>
      <c r="C26" s="334">
        <f>$D$5*$D$6*1</f>
        <v>13</v>
      </c>
      <c r="D26" s="334">
        <f>$D$5*$D$6*1.2</f>
        <v>15.6</v>
      </c>
      <c r="E26" s="345">
        <f>$D$5*$D$6*1.1</f>
        <v>14.3</v>
      </c>
      <c r="F26" s="334">
        <f>$D$5*$D$6*0.9</f>
        <v>11.700000000000001</v>
      </c>
      <c r="G26" s="334">
        <f>$D$5*$D$6*0.4</f>
        <v>5.2</v>
      </c>
      <c r="H26" s="485">
        <f>$D$5*$D$6*(-0.3)</f>
        <v>-3.9</v>
      </c>
      <c r="I26" s="334">
        <f>$D$5*$D$6*(-0.9)</f>
        <v>-11.700000000000001</v>
      </c>
      <c r="J26" s="334">
        <f>$D$5*$D$6*(-1.5)</f>
        <v>-19.5</v>
      </c>
      <c r="K26" s="345">
        <f>$D$5*$D$6*(-1.8)</f>
        <v>-23.400000000000002</v>
      </c>
      <c r="L26" s="334">
        <f>$D$5*$D$6*(-1.9)</f>
        <v>-24.7</v>
      </c>
      <c r="M26" s="485">
        <f>$D$5*$D$6*(-0.9)</f>
        <v>-11.700000000000001</v>
      </c>
      <c r="N26" s="147"/>
      <c r="O26" s="147"/>
    </row>
    <row r="27" spans="1:15" ht="12.75">
      <c r="A27" s="335"/>
      <c r="B27" s="332"/>
      <c r="C27" s="332"/>
      <c r="D27" s="332"/>
      <c r="E27" s="346"/>
      <c r="F27" s="332"/>
      <c r="G27" s="332"/>
      <c r="H27" s="486"/>
      <c r="I27" s="332"/>
      <c r="J27" s="332"/>
      <c r="K27" s="346"/>
      <c r="L27" s="332"/>
      <c r="M27" s="486"/>
      <c r="N27" s="147"/>
      <c r="O27" s="147"/>
    </row>
    <row r="28" spans="1:15" ht="12.75">
      <c r="A28" s="335">
        <f>$D$4*1.5</f>
        <v>10.5</v>
      </c>
      <c r="B28" s="334">
        <f>$D$5*$D$6*0.3</f>
        <v>3.9</v>
      </c>
      <c r="C28" s="334">
        <f>$D$5*$D$6*1.2</f>
        <v>15.6</v>
      </c>
      <c r="D28" s="334">
        <f>$D$5*$D$6*1.4</f>
        <v>18.2</v>
      </c>
      <c r="E28" s="345">
        <f>$D$5*$D$6*1.3</f>
        <v>16.900000000000002</v>
      </c>
      <c r="F28" s="334">
        <f>$D$5*$D$6*1.1</f>
        <v>14.3</v>
      </c>
      <c r="G28" s="334">
        <f>$D$5*$D$6*0.5</f>
        <v>6.5</v>
      </c>
      <c r="H28" s="485">
        <f>$D$5*$D$6*(-0.3)</f>
        <v>-3.9</v>
      </c>
      <c r="I28" s="334">
        <f>$D$5*$D$6*(-1)</f>
        <v>-13</v>
      </c>
      <c r="J28" s="334">
        <f>$D$5*$D$6*(-1.7)</f>
        <v>-22.099999999999998</v>
      </c>
      <c r="K28" s="345">
        <f>$D$5*$D$6*(-2.1)</f>
        <v>-27.3</v>
      </c>
      <c r="L28" s="334">
        <f>$D$5*$D$6*(-2.2)</f>
        <v>-28.6</v>
      </c>
      <c r="M28" s="485">
        <f>$D$5*$D$6*(-1)</f>
        <v>-13</v>
      </c>
      <c r="N28" s="147"/>
      <c r="O28" s="147"/>
    </row>
    <row r="29" spans="1:15" ht="12.75">
      <c r="A29" s="335">
        <f>$D$4*1.6</f>
        <v>11.200000000000001</v>
      </c>
      <c r="B29" s="334">
        <f>$D$5*$D$6*0.4</f>
        <v>5.2</v>
      </c>
      <c r="C29" s="334">
        <f>$D$5*$D$6*1.4</f>
        <v>18.2</v>
      </c>
      <c r="D29" s="334">
        <f>$D$5*$D$6*1.7</f>
        <v>22.099999999999998</v>
      </c>
      <c r="E29" s="345">
        <f>$D$5*$D$6*1.5</f>
        <v>19.5</v>
      </c>
      <c r="F29" s="334">
        <f>$D$5*$D$6*1.3</f>
        <v>16.900000000000002</v>
      </c>
      <c r="G29" s="334">
        <f>$D$5*$D$6*0.6</f>
        <v>7.8</v>
      </c>
      <c r="H29" s="485">
        <f>$D$5*$D$6*(-0.3)</f>
        <v>-3.9</v>
      </c>
      <c r="I29" s="334">
        <f>$D$5*$D$6*(-1.1)</f>
        <v>-14.3</v>
      </c>
      <c r="J29" s="334">
        <f>$D$5*$D$6*(-1.9)</f>
        <v>-24.7</v>
      </c>
      <c r="K29" s="345">
        <f>$D$5*$D$6*(-2.3)</f>
        <v>-29.9</v>
      </c>
      <c r="L29" s="334">
        <f>$D$5*$D$6*(-2.4)</f>
        <v>-31.2</v>
      </c>
      <c r="M29" s="485">
        <f>$D$5*$D$6*(-1.1)</f>
        <v>-14.3</v>
      </c>
      <c r="N29" s="147"/>
      <c r="O29" s="147"/>
    </row>
    <row r="30" spans="1:15" ht="12.75">
      <c r="A30" s="335">
        <f>$D$4*1.7</f>
        <v>11.9</v>
      </c>
      <c r="B30" s="334">
        <f>$D$5*$D$6*0.5</f>
        <v>6.5</v>
      </c>
      <c r="C30" s="334">
        <f>$D$5*$D$6*1.6</f>
        <v>20.8</v>
      </c>
      <c r="D30" s="334">
        <f>$D$5*$D$6*1.9</f>
        <v>24.7</v>
      </c>
      <c r="E30" s="345">
        <f>$D$5*$D$6*1.7</f>
        <v>22.099999999999998</v>
      </c>
      <c r="F30" s="334">
        <f>$D$5*$D$6*1.5</f>
        <v>19.5</v>
      </c>
      <c r="G30" s="334">
        <f>$D$5*$D$6*0.8</f>
        <v>10.4</v>
      </c>
      <c r="H30" s="485">
        <f>$D$5*$D$6*(-0.3)</f>
        <v>-3.9</v>
      </c>
      <c r="I30" s="334">
        <f>$D$5*$D$6*(-1.3)</f>
        <v>-16.900000000000002</v>
      </c>
      <c r="J30" s="334">
        <f>$D$5*$D$6*(-2.1)</f>
        <v>-27.3</v>
      </c>
      <c r="K30" s="345">
        <f>$D$5*$D$6*(-2.6)</f>
        <v>-33.800000000000004</v>
      </c>
      <c r="L30" s="334">
        <f>$D$5*$D$6*(-2.7)</f>
        <v>-35.1</v>
      </c>
      <c r="M30" s="485">
        <f>$D$5*$D$6*(-1.3)</f>
        <v>-16.900000000000002</v>
      </c>
      <c r="N30" s="147"/>
      <c r="O30" s="147"/>
    </row>
    <row r="31" spans="1:15" ht="12.75">
      <c r="A31" s="335">
        <f>$D$4*1.8</f>
        <v>12.6</v>
      </c>
      <c r="B31" s="334">
        <f>$D$5*$D$6*0.6</f>
        <v>7.8</v>
      </c>
      <c r="C31" s="334">
        <f>$D$5*$D$6*1.9</f>
        <v>24.7</v>
      </c>
      <c r="D31" s="334">
        <f>$D$5*$D$6*2.2</f>
        <v>28.6</v>
      </c>
      <c r="E31" s="345">
        <f>$D$5*$D$6*1.9</f>
        <v>24.7</v>
      </c>
      <c r="F31" s="334">
        <f>$D$5*$D$6*1.7</f>
        <v>22.099999999999998</v>
      </c>
      <c r="G31" s="334">
        <f>$D$5*$D$6*0.9</f>
        <v>11.700000000000001</v>
      </c>
      <c r="H31" s="485">
        <f>$D$5*$D$6*(-0.3)</f>
        <v>-3.9</v>
      </c>
      <c r="I31" s="334">
        <f>$D$5*$D$6*(-1.4)</f>
        <v>-18.2</v>
      </c>
      <c r="J31" s="334">
        <f>$D$5*$D$6*(-2.3)</f>
        <v>-29.9</v>
      </c>
      <c r="K31" s="345">
        <f>$D$5*$D$6*(-2.8)</f>
        <v>-36.4</v>
      </c>
      <c r="L31" s="334">
        <f>$D$5*$D$6*(-3)</f>
        <v>-39</v>
      </c>
      <c r="M31" s="485">
        <f>$D$5*$D$6*(-1.4)</f>
        <v>-18.2</v>
      </c>
      <c r="N31" s="147"/>
      <c r="O31" s="147"/>
    </row>
    <row r="32" spans="1:15" ht="12.75">
      <c r="A32" s="335">
        <f>$D$4*1.9</f>
        <v>13.299999999999999</v>
      </c>
      <c r="B32" s="334">
        <f>$D$5*$D$6*0.7</f>
        <v>9.1</v>
      </c>
      <c r="C32" s="334">
        <f>$D$5*$D$6*2.1</f>
        <v>27.3</v>
      </c>
      <c r="D32" s="334">
        <f>$D$5*$D$6*2.5</f>
        <v>32.5</v>
      </c>
      <c r="E32" s="345">
        <f>$D$5*$D$6*2.2</f>
        <v>28.6</v>
      </c>
      <c r="F32" s="334">
        <f>$D$5*$D$6*1.9</f>
        <v>24.7</v>
      </c>
      <c r="G32" s="334">
        <f>$D$5*$D$6*1</f>
        <v>13</v>
      </c>
      <c r="H32" s="485">
        <f>$D$5*$D$6*(-0.3)</f>
        <v>-3.9</v>
      </c>
      <c r="I32" s="334">
        <f>$D$5*$D$6*(-1.5)</f>
        <v>-19.5</v>
      </c>
      <c r="J32" s="334">
        <f>$D$5*$D$6*(-2.5)</f>
        <v>-32.5</v>
      </c>
      <c r="K32" s="345">
        <f>$D$5*$D$6*(-3.1)</f>
        <v>-40.300000000000004</v>
      </c>
      <c r="L32" s="334">
        <f>$D$5*$D$6*(-3.3)</f>
        <v>-42.9</v>
      </c>
      <c r="M32" s="485">
        <f>$D$5*$D$6*(-1.5)</f>
        <v>-19.5</v>
      </c>
      <c r="N32" s="147"/>
      <c r="O32" s="147"/>
    </row>
    <row r="33" spans="1:15" ht="12.75">
      <c r="A33" s="335"/>
      <c r="B33" s="332"/>
      <c r="C33" s="332"/>
      <c r="D33" s="332"/>
      <c r="E33" s="346"/>
      <c r="F33" s="332"/>
      <c r="G33" s="332"/>
      <c r="H33" s="486"/>
      <c r="I33" s="332"/>
      <c r="J33" s="332"/>
      <c r="K33" s="346"/>
      <c r="L33" s="332"/>
      <c r="M33" s="486"/>
      <c r="N33" s="147"/>
      <c r="O33" s="147"/>
    </row>
    <row r="34" spans="1:15" ht="12.75">
      <c r="A34" s="335">
        <f>$D$4*2</f>
        <v>14</v>
      </c>
      <c r="B34" s="334">
        <f>$D$5*$D$6*0.8</f>
        <v>10.4</v>
      </c>
      <c r="C34" s="334">
        <f>$D$5*$D$6*2.4</f>
        <v>31.2</v>
      </c>
      <c r="D34" s="334">
        <f>$D$5*$D$6*2.8</f>
        <v>36.4</v>
      </c>
      <c r="E34" s="345">
        <f>$D$5*$D$6*2.5</f>
        <v>32.5</v>
      </c>
      <c r="F34" s="334">
        <f>$D$5*$D$6*2.2</f>
        <v>28.6</v>
      </c>
      <c r="G34" s="334">
        <f>$D$5*$D$6*1.2</f>
        <v>15.6</v>
      </c>
      <c r="H34" s="485">
        <f>$D$5*$D$6*(-0.3)</f>
        <v>-3.9</v>
      </c>
      <c r="I34" s="334">
        <f>$D$5*$D$6*(-1.7)</f>
        <v>-22.099999999999998</v>
      </c>
      <c r="J34" s="334">
        <f>$D$5*$D$6*(-2.8)</f>
        <v>-36.4</v>
      </c>
      <c r="K34" s="345">
        <f>$D$5*$D$6*(-3.5)</f>
        <v>-45.5</v>
      </c>
      <c r="L34" s="334">
        <f>$D$5*$D$6*(-3.7)</f>
        <v>-48.1</v>
      </c>
      <c r="M34" s="485">
        <f>$D$5*$D$6*(-1.7)</f>
        <v>-22.099999999999998</v>
      </c>
      <c r="N34" s="147"/>
      <c r="O34" s="147"/>
    </row>
    <row r="35" spans="1:15" ht="12.75">
      <c r="A35" s="335">
        <f>$D$4*2.1</f>
        <v>14.700000000000001</v>
      </c>
      <c r="B35" s="334">
        <f>$D$5*$D$6*0.9</f>
        <v>11.700000000000001</v>
      </c>
      <c r="C35" s="334">
        <f>$D$5*$D$6*2.6</f>
        <v>33.800000000000004</v>
      </c>
      <c r="D35" s="334">
        <f>$D$5*$D$6*3.1</f>
        <v>40.300000000000004</v>
      </c>
      <c r="E35" s="345">
        <f>$D$5*$D$6*2.7</f>
        <v>35.1</v>
      </c>
      <c r="F35" s="334">
        <f>$D$5*$D$6*2.4</f>
        <v>31.2</v>
      </c>
      <c r="G35" s="334">
        <f>$D$5*$D$6*1.3</f>
        <v>16.900000000000002</v>
      </c>
      <c r="H35" s="485">
        <f>$D$5*$D$6*(-0.3)</f>
        <v>-3.9</v>
      </c>
      <c r="I35" s="334">
        <f>$D$5*$D$6*(-1.8)</f>
        <v>-23.400000000000002</v>
      </c>
      <c r="J35" s="334">
        <f>$D$5*$D$6*(-3)</f>
        <v>-39</v>
      </c>
      <c r="K35" s="345">
        <f>$D$5*$D$6*(-3.8)</f>
        <v>-49.4</v>
      </c>
      <c r="L35" s="334">
        <f>$D$5*$D$6*(-4)</f>
        <v>-52</v>
      </c>
      <c r="M35" s="485">
        <f>$D$5*$D$6*(-1.8)</f>
        <v>-23.400000000000002</v>
      </c>
      <c r="N35" s="147"/>
      <c r="O35" s="147"/>
    </row>
    <row r="36" spans="1:15" ht="12.75">
      <c r="A36" s="335">
        <f>$D$4*2.2</f>
        <v>15.400000000000002</v>
      </c>
      <c r="B36" s="334">
        <f>$D$5*$D$6*1</f>
        <v>13</v>
      </c>
      <c r="C36" s="334">
        <f>$D$5*$D$6*2.9</f>
        <v>37.699999999999996</v>
      </c>
      <c r="D36" s="334">
        <f>$D$5*$D$6*3.4</f>
        <v>44.199999999999996</v>
      </c>
      <c r="E36" s="345">
        <f>$D$5*$D$6*3</f>
        <v>39</v>
      </c>
      <c r="F36" s="334">
        <f>$D$5*$D$6*2.7</f>
        <v>35.1</v>
      </c>
      <c r="G36" s="334">
        <f>$D$5*$D$6*1.4</f>
        <v>18.2</v>
      </c>
      <c r="H36" s="485">
        <f>$D$5*$D$6*(-0.3)</f>
        <v>-3.9</v>
      </c>
      <c r="I36" s="334">
        <f>$D$5*$D$6*(-1.9)</f>
        <v>-24.7</v>
      </c>
      <c r="J36" s="334">
        <f>$D$5*$D$6*(-3.3)</f>
        <v>-42.9</v>
      </c>
      <c r="K36" s="345">
        <f>$D$5*$D$6*(-4.1)</f>
        <v>-53.3</v>
      </c>
      <c r="L36" s="334">
        <f>$D$5*$D$6*(-4.4)</f>
        <v>-57.2</v>
      </c>
      <c r="M36" s="485">
        <f>$D$5*$D$6*(-1.9)</f>
        <v>-24.7</v>
      </c>
      <c r="N36" s="147"/>
      <c r="O36" s="147"/>
    </row>
    <row r="37" spans="1:15" ht="12.75">
      <c r="A37" s="335">
        <f>$D$4*2.3</f>
        <v>16.099999999999998</v>
      </c>
      <c r="B37" s="334">
        <f>$D$5*$D$6*1.1</f>
        <v>14.3</v>
      </c>
      <c r="C37" s="334">
        <f>$D$5*$D$6*3.2</f>
        <v>41.6</v>
      </c>
      <c r="D37" s="334">
        <f>$D$5*$D$6*3.7</f>
        <v>48.1</v>
      </c>
      <c r="E37" s="345">
        <f>$D$5*$D$6*3.3</f>
        <v>42.9</v>
      </c>
      <c r="F37" s="334">
        <f>$D$5*$D$6*2.9</f>
        <v>37.699999999999996</v>
      </c>
      <c r="G37" s="334">
        <f>$D$5*$D$6*1.6</f>
        <v>20.8</v>
      </c>
      <c r="H37" s="485">
        <f>$D$5*$D$6*(-0.3)</f>
        <v>-3.9</v>
      </c>
      <c r="I37" s="334">
        <f>$D$5*$D$6*(-2.1)</f>
        <v>-27.3</v>
      </c>
      <c r="J37" s="334">
        <f>$D$5*$D$6*(-3.6)</f>
        <v>-46.800000000000004</v>
      </c>
      <c r="K37" s="345">
        <f>$D$5*$D$6*(-4.5)</f>
        <v>-58.5</v>
      </c>
      <c r="L37" s="334">
        <f>$D$5*$D$6*(-4.7)</f>
        <v>-61.1</v>
      </c>
      <c r="M37" s="485">
        <f>$D$5*$D$6*(-2.1)</f>
        <v>-27.3</v>
      </c>
      <c r="N37" s="147"/>
      <c r="O37" s="147"/>
    </row>
    <row r="38" spans="1:15" ht="12.75">
      <c r="A38" s="335">
        <f>$D$4*2.4</f>
        <v>16.8</v>
      </c>
      <c r="B38" s="334">
        <f>$D$5*$D$6*1.2</f>
        <v>15.6</v>
      </c>
      <c r="C38" s="334">
        <f>$D$5*$D$6*3.5</f>
        <v>45.5</v>
      </c>
      <c r="D38" s="334">
        <f>$D$5*$D$6*4.1</f>
        <v>53.3</v>
      </c>
      <c r="E38" s="345">
        <f>$D$5*$D$6*3.6</f>
        <v>46.800000000000004</v>
      </c>
      <c r="F38" s="334">
        <f>$D$5*$D$6*3.2</f>
        <v>41.6</v>
      </c>
      <c r="G38" s="334">
        <f>$D$5*$D$6*1.8</f>
        <v>23.400000000000002</v>
      </c>
      <c r="H38" s="485">
        <f>$D$5*$D$6*(-0.3)</f>
        <v>-3.9</v>
      </c>
      <c r="I38" s="334">
        <f>$D$5*$D$6*(-2.3)</f>
        <v>-29.9</v>
      </c>
      <c r="J38" s="334">
        <f>$D$5*$D$6*(-3.9)</f>
        <v>-50.699999999999996</v>
      </c>
      <c r="K38" s="345">
        <f>$D$5*$D$6*(-4.9)</f>
        <v>-63.7</v>
      </c>
      <c r="L38" s="334">
        <f>$D$5*$D$6*(-5.1)</f>
        <v>-66.3</v>
      </c>
      <c r="M38" s="485">
        <f>$D$5*$D$6*(-2.3)</f>
        <v>-29.9</v>
      </c>
      <c r="N38" s="147"/>
      <c r="O38" s="147"/>
    </row>
    <row r="39" spans="1:15" ht="12.75">
      <c r="A39" s="335"/>
      <c r="B39" s="332"/>
      <c r="C39" s="332"/>
      <c r="D39" s="332"/>
      <c r="E39" s="346"/>
      <c r="F39" s="332"/>
      <c r="G39" s="332"/>
      <c r="H39" s="486"/>
      <c r="I39" s="332"/>
      <c r="J39" s="332"/>
      <c r="K39" s="346"/>
      <c r="L39" s="332"/>
      <c r="M39" s="486"/>
      <c r="N39" s="147"/>
      <c r="O39" s="147"/>
    </row>
    <row r="40" spans="1:15" ht="12.75">
      <c r="A40" s="335">
        <f>$D$4*2.5</f>
        <v>17.5</v>
      </c>
      <c r="B40" s="334">
        <f>$D$5*$D$6*1.3</f>
        <v>16.900000000000002</v>
      </c>
      <c r="C40" s="334">
        <f>$D$5*$D$6*3.8</f>
        <v>49.4</v>
      </c>
      <c r="D40" s="334">
        <f>$D$5*$D$6*4.4</f>
        <v>57.2</v>
      </c>
      <c r="E40" s="345">
        <f>$D$5*$D$6*4</f>
        <v>52</v>
      </c>
      <c r="F40" s="334">
        <f>$D$5*$D$6*3.5</f>
        <v>45.5</v>
      </c>
      <c r="G40" s="334">
        <f>$D$5*$D$6*1.9</f>
        <v>24.7</v>
      </c>
      <c r="H40" s="485">
        <f>$D$5*$D$6*(-0.3)</f>
        <v>-3.9</v>
      </c>
      <c r="I40" s="334">
        <f>$D$5*$D$6*(-2.4)</f>
        <v>-31.2</v>
      </c>
      <c r="J40" s="334">
        <f>$D$5*$D$6*(-4.2)</f>
        <v>-54.6</v>
      </c>
      <c r="K40" s="345">
        <f>$D$5*$D$6*(-5.3)</f>
        <v>-68.89999999999999</v>
      </c>
      <c r="L40" s="334">
        <f>$D$5*$D$6*(-5.6)</f>
        <v>-72.8</v>
      </c>
      <c r="M40" s="485">
        <f>$D$5*$D$6*(-2.4)</f>
        <v>-31.2</v>
      </c>
      <c r="N40" s="147"/>
      <c r="O40" s="147"/>
    </row>
    <row r="41" spans="1:15" ht="12.75">
      <c r="A41" s="335">
        <f>$D$4*2.6</f>
        <v>18.2</v>
      </c>
      <c r="B41" s="334">
        <f>$D$5*$D$6*1.4</f>
        <v>18.2</v>
      </c>
      <c r="C41" s="334">
        <f>$D$5*$D$6*4.1</f>
        <v>53.3</v>
      </c>
      <c r="D41" s="334">
        <f>$D$5*$D$6*4.8</f>
        <v>62.4</v>
      </c>
      <c r="E41" s="345">
        <f>$D$5*$D$6*4.3</f>
        <v>55.9</v>
      </c>
      <c r="F41" s="334">
        <f>$D$5*$D$6*3.8</f>
        <v>49.4</v>
      </c>
      <c r="G41" s="334">
        <f>$D$5*$D$6*2.1</f>
        <v>27.3</v>
      </c>
      <c r="H41" s="485">
        <f>$D$5*$D$6*(-0.3)</f>
        <v>-3.9</v>
      </c>
      <c r="I41" s="334">
        <f>$D$5*$D$6*(-2.6)</f>
        <v>-33.800000000000004</v>
      </c>
      <c r="J41" s="334">
        <f>$D$5*$D$6*(-4.5)</f>
        <v>-58.5</v>
      </c>
      <c r="K41" s="345">
        <f>$D$5*$D$6*(-5.7)</f>
        <v>-74.10000000000001</v>
      </c>
      <c r="L41" s="334">
        <f>$D$5*$D$6*(-6)</f>
        <v>-78</v>
      </c>
      <c r="M41" s="485">
        <f>$D$5*$D$6*(-2.6)</f>
        <v>-33.800000000000004</v>
      </c>
      <c r="N41" s="147"/>
      <c r="O41" s="147"/>
    </row>
    <row r="42" spans="1:15" ht="12.75">
      <c r="A42" s="335">
        <f>$D$4*2.7</f>
        <v>18.900000000000002</v>
      </c>
      <c r="B42" s="334">
        <f>$D$5*$D$6*1.6</f>
        <v>20.8</v>
      </c>
      <c r="C42" s="334">
        <f>$D$5*$D$6*4.5</f>
        <v>58.5</v>
      </c>
      <c r="D42" s="334">
        <f>$D$5*$D$6*5.2</f>
        <v>67.60000000000001</v>
      </c>
      <c r="E42" s="345">
        <f>$D$5*$D$6*4.7</f>
        <v>61.1</v>
      </c>
      <c r="F42" s="334">
        <f>$D$5*$D$6*4.1</f>
        <v>53.3</v>
      </c>
      <c r="G42" s="334">
        <f>$D$5*$D$6*2.3</f>
        <v>29.9</v>
      </c>
      <c r="H42" s="485">
        <f>$D$5*$D$6*(-0.3)</f>
        <v>-3.9</v>
      </c>
      <c r="I42" s="334">
        <f>$D$5*$D$6*(-2.8)</f>
        <v>-36.4</v>
      </c>
      <c r="J42" s="334">
        <f>$D$5*$D$6*(-4.8)</f>
        <v>-62.4</v>
      </c>
      <c r="K42" s="345">
        <f>$D$5*$D$6*(-6.1)</f>
        <v>-79.3</v>
      </c>
      <c r="L42" s="334">
        <f>$D$5*$D$6*(-6.4)</f>
        <v>-83.2</v>
      </c>
      <c r="M42" s="485">
        <f>$D$5*$D$6*(-2.8)</f>
        <v>-36.4</v>
      </c>
      <c r="N42" s="147"/>
      <c r="O42" s="147"/>
    </row>
    <row r="43" spans="1:15" ht="12.75">
      <c r="A43" s="335">
        <f>$D$4*2.8</f>
        <v>19.599999999999998</v>
      </c>
      <c r="B43" s="334">
        <f>$D$5*$D$6*1.7</f>
        <v>22.099999999999998</v>
      </c>
      <c r="C43" s="334">
        <f>$D$5*$D$6*4.8</f>
        <v>62.4</v>
      </c>
      <c r="D43" s="334">
        <f>$D$5*$D$6*5.6</f>
        <v>72.8</v>
      </c>
      <c r="E43" s="345">
        <f>$D$5*$D$6*5</f>
        <v>65</v>
      </c>
      <c r="F43" s="334">
        <f>$D$5*$D$6*4.5</f>
        <v>58.5</v>
      </c>
      <c r="G43" s="334">
        <f>$D$5*$D$6*2.5</f>
        <v>32.5</v>
      </c>
      <c r="H43" s="485">
        <f>$D$5*$D$6*(-0.3)</f>
        <v>-3.9</v>
      </c>
      <c r="I43" s="334">
        <f>$D$5*$D$6*(-3)</f>
        <v>-39</v>
      </c>
      <c r="J43" s="334">
        <f>$D$5*$D$6*(-5.2)</f>
        <v>-67.60000000000001</v>
      </c>
      <c r="K43" s="345">
        <f>$D$5*$D$6*(-6.5)</f>
        <v>-84.5</v>
      </c>
      <c r="L43" s="334">
        <f>$D$5*$D$6*(-6.9)</f>
        <v>-89.7</v>
      </c>
      <c r="M43" s="485">
        <f>$D$5*$D$6*(-3)</f>
        <v>-39</v>
      </c>
      <c r="N43" s="147"/>
      <c r="O43" s="147"/>
    </row>
    <row r="44" spans="1:15" ht="12.75">
      <c r="A44" s="335">
        <f>$D$4*2.9</f>
        <v>20.3</v>
      </c>
      <c r="B44" s="334">
        <f>$D$5*$D$6*1.9</f>
        <v>24.7</v>
      </c>
      <c r="C44" s="334">
        <f>$D$5*$D$6*5.2</f>
        <v>67.60000000000001</v>
      </c>
      <c r="D44" s="334">
        <f>$D$5*$D$6*6.1</f>
        <v>79.3</v>
      </c>
      <c r="E44" s="345">
        <f>$D$5*$D$6*5.4</f>
        <v>70.2</v>
      </c>
      <c r="F44" s="334">
        <f>$D$5*$D$6*4.8</f>
        <v>62.4</v>
      </c>
      <c r="G44" s="334">
        <f>$D$5*$D$6*2.7</f>
        <v>35.1</v>
      </c>
      <c r="H44" s="485">
        <f>$D$5*$D$6*(-0.3)</f>
        <v>-3.9</v>
      </c>
      <c r="I44" s="334">
        <f>$D$5*$D$6*(-3.2)</f>
        <v>-41.6</v>
      </c>
      <c r="J44" s="334">
        <f>$D$5*$D$6*(-5.5)</f>
        <v>-71.5</v>
      </c>
      <c r="K44" s="345">
        <f>$D$5*$D$6*(-7)</f>
        <v>-91</v>
      </c>
      <c r="L44" s="334">
        <f>$D$5*$D$6*(-7.4)</f>
        <v>-96.2</v>
      </c>
      <c r="M44" s="485">
        <f>$D$5*$D$6*(-3.2)</f>
        <v>-41.6</v>
      </c>
      <c r="N44" s="147"/>
      <c r="O44" s="147"/>
    </row>
    <row r="45" spans="1:15" ht="12.75">
      <c r="A45" s="335"/>
      <c r="B45" s="332"/>
      <c r="C45" s="332"/>
      <c r="D45" s="332"/>
      <c r="E45" s="346"/>
      <c r="F45" s="332"/>
      <c r="G45" s="332"/>
      <c r="H45" s="486"/>
      <c r="I45" s="332"/>
      <c r="J45" s="332"/>
      <c r="K45" s="346"/>
      <c r="L45" s="332"/>
      <c r="M45" s="486"/>
      <c r="N45" s="147"/>
      <c r="O45" s="147"/>
    </row>
    <row r="46" spans="1:15" ht="12.75">
      <c r="A46" s="335">
        <f>$D$4*3</f>
        <v>21</v>
      </c>
      <c r="B46" s="334">
        <f>$D$5*$D$6*2</f>
        <v>26</v>
      </c>
      <c r="C46" s="334">
        <f>$D$5*$D$6*5.6</f>
        <v>72.8</v>
      </c>
      <c r="D46" s="334">
        <f>$D$5*$D$6*6.5</f>
        <v>84.5</v>
      </c>
      <c r="E46" s="345">
        <f>$D$5*$D$6*5.8</f>
        <v>75.39999999999999</v>
      </c>
      <c r="F46" s="334">
        <f>$D$5*$D$6*5.2</f>
        <v>67.60000000000001</v>
      </c>
      <c r="G46" s="334">
        <f>$D$5*$D$6*2.9</f>
        <v>37.699999999999996</v>
      </c>
      <c r="H46" s="485">
        <f>$D$5*$D$6*(-0.3)</f>
        <v>-3.9</v>
      </c>
      <c r="I46" s="334">
        <f>$D$5*$D$6*(-3.4)</f>
        <v>-44.199999999999996</v>
      </c>
      <c r="J46" s="334">
        <f>$D$5*$D$6*(-5.9)</f>
        <v>-76.7</v>
      </c>
      <c r="K46" s="345">
        <f>$D$5*$D$6*(-7.5)</f>
        <v>-97.5</v>
      </c>
      <c r="L46" s="334">
        <f>$D$5*$D$6*(-7.9)</f>
        <v>-102.7</v>
      </c>
      <c r="M46" s="485">
        <f>$D$5*$D$6*(-3.4)</f>
        <v>-44.199999999999996</v>
      </c>
      <c r="N46" s="147"/>
      <c r="O46" s="147"/>
    </row>
    <row r="47" spans="1:15" ht="12.75">
      <c r="A47" s="335">
        <f>$D$4*3.25</f>
        <v>22.75</v>
      </c>
      <c r="B47" s="334">
        <f>$D$5*$D$6*2.4</f>
        <v>31.2</v>
      </c>
      <c r="C47" s="334">
        <f>$D$5*$D$6*6.6</f>
        <v>85.8</v>
      </c>
      <c r="D47" s="334">
        <f>$D$5*$D$6*7.65</f>
        <v>99.45</v>
      </c>
      <c r="E47" s="345">
        <f>$D$5*$D$6*6.9</f>
        <v>89.7</v>
      </c>
      <c r="F47" s="334">
        <f>$D$5*$D$6*6.1</f>
        <v>79.3</v>
      </c>
      <c r="G47" s="334">
        <f>$D$5*$D$6*3.4</f>
        <v>44.199999999999996</v>
      </c>
      <c r="H47" s="485">
        <f>$D$5*$D$6*(-0.3)</f>
        <v>-3.9</v>
      </c>
      <c r="I47" s="334">
        <f>$D$5*$D$6*(-3.958)</f>
        <v>-51.454</v>
      </c>
      <c r="J47" s="334">
        <f>$D$5*$D$6*(-6.9)</f>
        <v>-89.7</v>
      </c>
      <c r="K47" s="345">
        <f>$D$5*$D$6*(-8.7)</f>
        <v>-113.1</v>
      </c>
      <c r="L47" s="334">
        <f>$D$5*$D$6*(-9.25)</f>
        <v>-120.25</v>
      </c>
      <c r="M47" s="485">
        <f>$D$5*$D$6*(-3.9)</f>
        <v>-50.699999999999996</v>
      </c>
      <c r="N47" s="147"/>
      <c r="O47" s="147"/>
    </row>
    <row r="48" spans="1:15" ht="12.75">
      <c r="A48" s="335">
        <f>$D$4*3.5</f>
        <v>24.5</v>
      </c>
      <c r="B48" s="334">
        <f>$D$5*$D$6*2.8</f>
        <v>36.4</v>
      </c>
      <c r="C48" s="334">
        <f>$D$5*$D$6*7.7</f>
        <v>100.10000000000001</v>
      </c>
      <c r="D48" s="334">
        <f>$D$5*$D$6*8.9</f>
        <v>115.7</v>
      </c>
      <c r="E48" s="345">
        <f>$D$5*$D$6*8.1</f>
        <v>105.3</v>
      </c>
      <c r="F48" s="334">
        <f>$D$5*$D$6*7.17</f>
        <v>93.21</v>
      </c>
      <c r="G48" s="334">
        <f>$D$5*$D$6*4</f>
        <v>52</v>
      </c>
      <c r="H48" s="485">
        <f>$D$5*$D$6*(-0.3)</f>
        <v>-3.9</v>
      </c>
      <c r="I48" s="334">
        <f>$D$5*$D$6*(-4.5)</f>
        <v>-58.5</v>
      </c>
      <c r="J48" s="334">
        <f>$D$5*$D$6*(-7.9)</f>
        <v>-102.7</v>
      </c>
      <c r="K48" s="345">
        <f>$D$5*$D$6*(-10)</f>
        <v>-130</v>
      </c>
      <c r="L48" s="334">
        <f>$D$5*$D$6*(-10.66)</f>
        <v>-138.58</v>
      </c>
      <c r="M48" s="485">
        <f>$D$5*$D$6*(-4.5)</f>
        <v>-58.5</v>
      </c>
      <c r="N48" s="147"/>
      <c r="O48" s="147"/>
    </row>
    <row r="49" spans="1:15" ht="12.75">
      <c r="A49" s="335">
        <f>$D$4*3.75</f>
        <v>26.25</v>
      </c>
      <c r="B49" s="334">
        <f>$D$5*$D$6*3.3</f>
        <v>42.9</v>
      </c>
      <c r="C49" s="334">
        <f>$D$5*$D$6*9</f>
        <v>117</v>
      </c>
      <c r="D49" s="334">
        <f>$D$5*$D$6*10.4</f>
        <v>135.20000000000002</v>
      </c>
      <c r="E49" s="345">
        <f>$D$5*$D$6*9.5</f>
        <v>123.5</v>
      </c>
      <c r="F49" s="334">
        <f>$D$5*$D$6*8.4</f>
        <v>109.2</v>
      </c>
      <c r="G49" s="334">
        <f>$D$5*$D$6*4.7</f>
        <v>61.1</v>
      </c>
      <c r="H49" s="485">
        <f aca="true" t="shared" si="2" ref="H49:H54">$D$5*$D$6*(-0.3)</f>
        <v>-3.9</v>
      </c>
      <c r="I49" s="334">
        <f>$D$5*$D$6*(-5)</f>
        <v>-65</v>
      </c>
      <c r="J49" s="334">
        <f>$D$5*$D$6*(-8.8)</f>
        <v>-114.4</v>
      </c>
      <c r="K49" s="345">
        <f>$D$5*$D$6*(-11.2)</f>
        <v>-145.6</v>
      </c>
      <c r="L49" s="334">
        <f>$D$5*$D$6*(-11.9)</f>
        <v>-154.70000000000002</v>
      </c>
      <c r="M49" s="485">
        <f>$D$5*$D$6*(-5)</f>
        <v>-65</v>
      </c>
      <c r="N49" s="147"/>
      <c r="O49" s="147"/>
    </row>
    <row r="50" spans="1:15" ht="12.75">
      <c r="A50" s="335">
        <f>$D$4*4</f>
        <v>28</v>
      </c>
      <c r="B50" s="334">
        <f>$D$5*$D$6*3.85</f>
        <v>50.050000000000004</v>
      </c>
      <c r="C50" s="334">
        <f>$D$5*$D$6*10.5</f>
        <v>136.5</v>
      </c>
      <c r="D50" s="334">
        <f>$D$5*$D$6*12.1</f>
        <v>157.29999999999998</v>
      </c>
      <c r="E50" s="345">
        <f>$D$5*$D$6*11</f>
        <v>143</v>
      </c>
      <c r="F50" s="334">
        <f>$D$5*$D$6*9.7</f>
        <v>126.1</v>
      </c>
      <c r="G50" s="334">
        <f>$D$5*$D$6*5.4</f>
        <v>70.2</v>
      </c>
      <c r="H50" s="485">
        <f t="shared" si="2"/>
        <v>-3.9</v>
      </c>
      <c r="I50" s="334">
        <f>$D$5*$D$6*(-5.6)</f>
        <v>-72.8</v>
      </c>
      <c r="J50" s="334">
        <f>$D$5*$D$6*(-9.9)</f>
        <v>-128.70000000000002</v>
      </c>
      <c r="K50" s="345">
        <f>$D$5*$D$6*(-12.5)</f>
        <v>-162.5</v>
      </c>
      <c r="L50" s="334">
        <f>$D$5*$D$6*(-13.3)</f>
        <v>-172.9</v>
      </c>
      <c r="M50" s="485">
        <f>$D$5*$D$6*(-5.6)</f>
        <v>-72.8</v>
      </c>
      <c r="N50" s="147"/>
      <c r="O50" s="147"/>
    </row>
    <row r="51" spans="1:15" ht="12.75">
      <c r="A51" s="335">
        <f>$D$4*4.25</f>
        <v>29.75</v>
      </c>
      <c r="B51" s="334">
        <f>$D$5*$D$6*4.4</f>
        <v>57.2</v>
      </c>
      <c r="C51" s="334">
        <f>$D$5*$D$6*12.06</f>
        <v>156.78</v>
      </c>
      <c r="D51" s="334">
        <f>$D$5*$D$6*13.9</f>
        <v>180.70000000000002</v>
      </c>
      <c r="E51" s="345">
        <f>$D$5*$D$6*12.6</f>
        <v>163.79999999999998</v>
      </c>
      <c r="F51" s="334">
        <f>$D$5*$D$6*11.2</f>
        <v>145.6</v>
      </c>
      <c r="G51" s="334">
        <f>$D$5*$D$6*6.2</f>
        <v>80.60000000000001</v>
      </c>
      <c r="H51" s="485">
        <f t="shared" si="2"/>
        <v>-3.9</v>
      </c>
      <c r="I51" s="334">
        <f>$D$5*$D$6*(-6.2)</f>
        <v>-80.60000000000001</v>
      </c>
      <c r="J51" s="334">
        <f>$D$5*$D$6*(-10.9)</f>
        <v>-141.70000000000002</v>
      </c>
      <c r="K51" s="345">
        <f>$D$5*$D$6*(-13.9)</f>
        <v>-180.70000000000002</v>
      </c>
      <c r="L51" s="334">
        <f>$D$5*$D$6*(-14.8)</f>
        <v>-192.4</v>
      </c>
      <c r="M51" s="485">
        <f>$D$5*$D$6*(-6.2)</f>
        <v>-80.60000000000001</v>
      </c>
      <c r="N51" s="147"/>
      <c r="O51" s="147"/>
    </row>
    <row r="52" spans="1:15" ht="12.75">
      <c r="A52" s="335">
        <f>$D$4*4.5</f>
        <v>31.5</v>
      </c>
      <c r="B52" s="334">
        <f>$D$5*$D$6*5</f>
        <v>65</v>
      </c>
      <c r="C52" s="334">
        <f>$D$5*$D$6*13.7</f>
        <v>178.1</v>
      </c>
      <c r="D52" s="334">
        <f>$D$5*$D$6*15.9</f>
        <v>206.70000000000002</v>
      </c>
      <c r="E52" s="345">
        <f>$D$5*$D$6*14.4</f>
        <v>187.20000000000002</v>
      </c>
      <c r="F52" s="334">
        <f>$D$5*$D$6*12.8</f>
        <v>166.4</v>
      </c>
      <c r="G52" s="334">
        <f>$D$5*$D$6*6.9</f>
        <v>89.7</v>
      </c>
      <c r="H52" s="485">
        <f t="shared" si="2"/>
        <v>-3.9</v>
      </c>
      <c r="I52" s="334">
        <f>$D$5*$D$6*(-6.9)</f>
        <v>-89.7</v>
      </c>
      <c r="J52" s="334">
        <f>$D$5*$D$6*(-12)</f>
        <v>-156</v>
      </c>
      <c r="K52" s="345">
        <f>$D$5*$D$6*(-15.3)</f>
        <v>-198.9</v>
      </c>
      <c r="L52" s="334">
        <f>$D$5*$D$6*(-16.33)</f>
        <v>-212.28999999999996</v>
      </c>
      <c r="M52" s="485">
        <f>$D$5*$D$6*(-6.9)</f>
        <v>-89.7</v>
      </c>
      <c r="N52" s="147"/>
      <c r="O52" s="147"/>
    </row>
    <row r="53" spans="1:15" ht="12.75">
      <c r="A53" s="335">
        <f>$D$4*4.75</f>
        <v>33.25</v>
      </c>
      <c r="B53" s="334">
        <f>$D$5*$D$6*5.7</f>
        <v>74.10000000000001</v>
      </c>
      <c r="C53" s="334">
        <f>$D$5*$D$6*15.6</f>
        <v>202.79999999999998</v>
      </c>
      <c r="D53" s="334">
        <f>$D$5*$D$6*18</f>
        <v>234</v>
      </c>
      <c r="E53" s="345">
        <f>$D$5*$D$6*16.3</f>
        <v>211.9</v>
      </c>
      <c r="F53" s="334">
        <f>$D$5*$D$6*14.5</f>
        <v>188.5</v>
      </c>
      <c r="G53" s="334">
        <f>$D$5*$D$6*8</f>
        <v>104</v>
      </c>
      <c r="H53" s="485">
        <f t="shared" si="2"/>
        <v>-3.9</v>
      </c>
      <c r="I53" s="334">
        <f>$D$5*$D$6*(-7.5)</f>
        <v>-97.5</v>
      </c>
      <c r="J53" s="334">
        <f>$D$5*$D$6*(-13.2)</f>
        <v>-171.6</v>
      </c>
      <c r="K53" s="345">
        <f>$D$5*$D$6*(-16.8)</f>
        <v>-218.4</v>
      </c>
      <c r="L53" s="334">
        <f>$D$5*$D$6*(-16.8)</f>
        <v>-218.4</v>
      </c>
      <c r="M53" s="485">
        <f>$D$5*$D$6*(-7.5)</f>
        <v>-97.5</v>
      </c>
      <c r="N53" s="147"/>
      <c r="O53" s="147"/>
    </row>
    <row r="54" spans="1:15" ht="13.5" thickBot="1">
      <c r="A54" s="336">
        <f>$D$4*5</f>
        <v>35</v>
      </c>
      <c r="B54" s="334">
        <f>$D$5*$D$6*6.4</f>
        <v>83.2</v>
      </c>
      <c r="C54" s="334">
        <f>$D$5*$D$6*17.5</f>
        <v>227.5</v>
      </c>
      <c r="D54" s="334">
        <f>$D$5*$D$6*20.2</f>
        <v>262.59999999999997</v>
      </c>
      <c r="E54" s="347">
        <f>$D$5*$D$6*18.4</f>
        <v>239.2</v>
      </c>
      <c r="F54" s="334">
        <f>$D$5*$D$6*16.3</f>
        <v>211.9</v>
      </c>
      <c r="G54" s="334">
        <f>$D$5*$D$6*9</f>
        <v>117</v>
      </c>
      <c r="H54" s="487">
        <f t="shared" si="2"/>
        <v>-3.9</v>
      </c>
      <c r="I54" s="334">
        <f>$D$5*$D$6*(-8.2)</f>
        <v>-106.6</v>
      </c>
      <c r="J54" s="334">
        <f>$D$5*$D$6*(-14.4)</f>
        <v>-187.20000000000002</v>
      </c>
      <c r="K54" s="347">
        <f>$D$5*$D$6*(-12.3)</f>
        <v>-159.9</v>
      </c>
      <c r="L54" s="334">
        <f>$D$5*$D$6*(-18.3)</f>
        <v>-237.9</v>
      </c>
      <c r="M54" s="487">
        <f>$D$5*$D$6*(-8.2)</f>
        <v>-106.6</v>
      </c>
      <c r="N54" s="147"/>
      <c r="O54" s="147"/>
    </row>
    <row r="55" spans="1:15" ht="12.75">
      <c r="A55" s="332"/>
      <c r="B55" s="332"/>
      <c r="C55" s="333" t="s">
        <v>133</v>
      </c>
      <c r="D55" s="332"/>
      <c r="E55" s="332"/>
      <c r="F55" s="332"/>
      <c r="G55" s="332"/>
      <c r="H55" s="332"/>
      <c r="I55" s="332"/>
      <c r="J55" s="332"/>
      <c r="K55" s="332"/>
      <c r="L55" s="332"/>
      <c r="M55" s="332"/>
      <c r="N55" s="147"/>
      <c r="O55" s="147"/>
    </row>
    <row r="56" spans="1:15" ht="12.75">
      <c r="A56" s="332"/>
      <c r="B56" s="332"/>
      <c r="C56" s="333" t="s">
        <v>134</v>
      </c>
      <c r="D56" s="332"/>
      <c r="E56" s="332"/>
      <c r="F56" s="332"/>
      <c r="G56" s="332"/>
      <c r="H56" s="332"/>
      <c r="I56" s="332"/>
      <c r="J56" s="332"/>
      <c r="K56" s="332"/>
      <c r="L56" s="332"/>
      <c r="M56" s="332"/>
      <c r="N56" s="147"/>
      <c r="O56" s="147"/>
    </row>
    <row r="57" spans="1:15" ht="12">
      <c r="A57" s="147"/>
      <c r="B57" s="147"/>
      <c r="C57" s="147"/>
      <c r="D57" s="147"/>
      <c r="E57" s="147"/>
      <c r="F57" s="147"/>
      <c r="G57" s="147"/>
      <c r="H57" s="147"/>
      <c r="I57" s="147"/>
      <c r="J57" s="147"/>
      <c r="K57" s="147"/>
      <c r="L57" s="147"/>
      <c r="M57" s="147"/>
      <c r="N57" s="147"/>
      <c r="O57" s="147"/>
    </row>
    <row r="58" spans="1:15" ht="12">
      <c r="A58" s="147"/>
      <c r="B58" s="147"/>
      <c r="C58" s="147"/>
      <c r="D58" s="147"/>
      <c r="E58" s="147"/>
      <c r="F58" s="147"/>
      <c r="G58" s="147"/>
      <c r="H58" s="147"/>
      <c r="I58" s="147"/>
      <c r="J58" s="147"/>
      <c r="K58" s="147"/>
      <c r="L58" s="147"/>
      <c r="M58" s="147"/>
      <c r="N58" s="147"/>
      <c r="O58" s="147"/>
    </row>
  </sheetData>
  <sheetProtection/>
  <mergeCells count="1">
    <mergeCell ref="F3:H4"/>
  </mergeCells>
  <printOptions/>
  <pageMargins left="0" right="0" top="0.5" bottom="0.25" header="0" footer="0"/>
  <pageSetup fitToHeight="1" fitToWidth="1" horizontalDpi="600" verticalDpi="600" orientation="portrait" scale="92" r:id="rId1"/>
  <headerFooter alignWithMargins="0">
    <oddFooter>&amp;R&amp;D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53"/>
  <sheetViews>
    <sheetView zoomScalePageLayoutView="0" workbookViewId="0" topLeftCell="A8">
      <selection activeCell="R32" sqref="R32"/>
    </sheetView>
  </sheetViews>
  <sheetFormatPr defaultColWidth="9.00390625" defaultRowHeight="12.75"/>
  <cols>
    <col min="1" max="1" width="7.375" style="0" customWidth="1"/>
    <col min="2" max="2" width="1.37890625" style="0" customWidth="1"/>
    <col min="3" max="3" width="6.375" style="0" customWidth="1"/>
    <col min="4" max="4" width="5.50390625" style="0" customWidth="1"/>
    <col min="6" max="6" width="0.37109375" style="0" customWidth="1"/>
    <col min="7" max="7" width="9.50390625" style="0" customWidth="1"/>
    <col min="8" max="8" width="9.25390625" style="0" customWidth="1"/>
    <col min="9" max="9" width="7.25390625" style="0" customWidth="1"/>
    <col min="10" max="10" width="1.875" style="63" customWidth="1"/>
    <col min="11" max="11" width="7.50390625" style="104" customWidth="1"/>
    <col min="12" max="12" width="0.875" style="3" customWidth="1"/>
    <col min="13" max="13" width="5.75390625" style="3" customWidth="1"/>
    <col min="14" max="14" width="5.00390625" style="3" customWidth="1"/>
    <col min="15" max="15" width="8.50390625" style="3" customWidth="1"/>
    <col min="16" max="16" width="1.25" style="3" hidden="1" customWidth="1"/>
    <col min="17" max="17" width="8.875" style="3" customWidth="1"/>
    <col min="18" max="18" width="9.25390625" style="63" customWidth="1"/>
    <col min="19" max="19" width="7.25390625" style="3" customWidth="1"/>
    <col min="20" max="20" width="9.375" style="3" customWidth="1"/>
  </cols>
  <sheetData>
    <row r="1" spans="1:19" ht="12.75">
      <c r="A1" s="125"/>
      <c r="B1" s="350" t="s">
        <v>135</v>
      </c>
      <c r="C1" s="283"/>
      <c r="D1" s="283"/>
      <c r="E1" s="283"/>
      <c r="F1" s="283"/>
      <c r="G1" s="283"/>
      <c r="H1" s="283"/>
      <c r="I1" s="283"/>
      <c r="J1" s="151"/>
      <c r="K1" s="125"/>
      <c r="L1" s="350" t="s">
        <v>135</v>
      </c>
      <c r="M1" s="283"/>
      <c r="N1" s="283"/>
      <c r="O1" s="283"/>
      <c r="P1" s="283"/>
      <c r="Q1" s="283"/>
      <c r="R1" s="167"/>
      <c r="S1" s="329"/>
    </row>
    <row r="2" spans="1:19" ht="12.75">
      <c r="A2" s="404"/>
      <c r="B2" s="84"/>
      <c r="C2" s="331"/>
      <c r="D2" s="331"/>
      <c r="E2" s="331"/>
      <c r="F2" s="331"/>
      <c r="G2" s="331" t="str">
        <f>'RACE '!J2</f>
        <v>xx/xx/xx</v>
      </c>
      <c r="H2" s="331"/>
      <c r="I2" s="331"/>
      <c r="K2" s="404"/>
      <c r="L2" s="84"/>
      <c r="M2" s="331"/>
      <c r="N2" s="331"/>
      <c r="O2" s="331"/>
      <c r="P2" s="331"/>
      <c r="Q2" s="331"/>
      <c r="R2" s="3"/>
      <c r="S2" s="100"/>
    </row>
    <row r="3" spans="1:19" ht="13.5" thickBot="1">
      <c r="A3" s="404"/>
      <c r="B3" s="331" t="s">
        <v>136</v>
      </c>
      <c r="C3" s="331"/>
      <c r="D3" s="159" t="str">
        <f>'RACE '!A4</f>
        <v>Boat Name</v>
      </c>
      <c r="E3" s="331"/>
      <c r="F3" s="331"/>
      <c r="G3" s="331"/>
      <c r="H3" s="331"/>
      <c r="I3" s="331"/>
      <c r="K3" s="404"/>
      <c r="L3" s="331" t="s">
        <v>136</v>
      </c>
      <c r="M3" s="331"/>
      <c r="N3" s="159" t="str">
        <f>'RACE '!A4</f>
        <v>Boat Name</v>
      </c>
      <c r="O3" s="331"/>
      <c r="P3" s="331"/>
      <c r="Q3" s="331"/>
      <c r="R3" s="3"/>
      <c r="S3" s="100"/>
    </row>
    <row r="4" spans="1:19" ht="12.75">
      <c r="A4" s="404"/>
      <c r="B4" s="518" t="s">
        <v>137</v>
      </c>
      <c r="C4" s="331"/>
      <c r="D4" s="519">
        <f>'RACE '!J4</f>
        <v>10</v>
      </c>
      <c r="E4" s="84" t="s">
        <v>50</v>
      </c>
      <c r="F4" s="1627" t="s">
        <v>149</v>
      </c>
      <c r="G4" s="1628"/>
      <c r="H4" s="1629"/>
      <c r="I4" s="331"/>
      <c r="K4" s="404"/>
      <c r="L4" s="518" t="s">
        <v>137</v>
      </c>
      <c r="M4" s="331"/>
      <c r="N4" s="519">
        <f>'RACE '!J5</f>
        <v>7</v>
      </c>
      <c r="O4" s="84" t="s">
        <v>50</v>
      </c>
      <c r="P4" s="1627" t="s">
        <v>70</v>
      </c>
      <c r="Q4" s="1633"/>
      <c r="R4" s="1634"/>
      <c r="S4" s="100"/>
    </row>
    <row r="5" spans="1:19" ht="13.5" thickBot="1">
      <c r="A5" s="404"/>
      <c r="B5" s="518" t="s">
        <v>138</v>
      </c>
      <c r="C5" s="331"/>
      <c r="D5" s="171">
        <v>220</v>
      </c>
      <c r="E5" s="84" t="s">
        <v>139</v>
      </c>
      <c r="F5" s="1630"/>
      <c r="G5" s="1631"/>
      <c r="H5" s="1632"/>
      <c r="I5" s="331"/>
      <c r="K5" s="404"/>
      <c r="L5" s="518" t="s">
        <v>138</v>
      </c>
      <c r="M5" s="331"/>
      <c r="N5" s="171">
        <f>'RACE '!W5</f>
        <v>0</v>
      </c>
      <c r="O5" s="84" t="s">
        <v>139</v>
      </c>
      <c r="P5" s="1635"/>
      <c r="Q5" s="1636"/>
      <c r="R5" s="1637"/>
      <c r="S5" s="100"/>
    </row>
    <row r="6" spans="1:19" ht="13.5" thickBot="1">
      <c r="A6" s="126"/>
      <c r="B6" s="521"/>
      <c r="C6" s="521"/>
      <c r="D6" s="521"/>
      <c r="E6" s="521"/>
      <c r="F6" s="521"/>
      <c r="G6" s="521"/>
      <c r="H6" s="521"/>
      <c r="I6" s="521"/>
      <c r="J6" s="141"/>
      <c r="K6" s="126"/>
      <c r="L6" s="521"/>
      <c r="M6" s="521"/>
      <c r="N6" s="521"/>
      <c r="O6" s="521"/>
      <c r="P6" s="521"/>
      <c r="Q6" s="521"/>
      <c r="R6" s="79"/>
      <c r="S6" s="330"/>
    </row>
    <row r="7" spans="1:20" ht="12.75">
      <c r="A7" s="449" t="s">
        <v>140</v>
      </c>
      <c r="B7" s="658"/>
      <c r="C7" s="659" t="s">
        <v>141</v>
      </c>
      <c r="D7" s="660"/>
      <c r="E7" s="656" t="s">
        <v>142</v>
      </c>
      <c r="F7" s="660"/>
      <c r="G7" s="659" t="s">
        <v>143</v>
      </c>
      <c r="H7" s="656" t="s">
        <v>71</v>
      </c>
      <c r="I7" s="656" t="s">
        <v>218</v>
      </c>
      <c r="J7" s="661"/>
      <c r="K7" s="449" t="s">
        <v>102</v>
      </c>
      <c r="L7" s="658"/>
      <c r="M7" s="450" t="s">
        <v>141</v>
      </c>
      <c r="N7" s="663"/>
      <c r="O7" s="229" t="s">
        <v>142</v>
      </c>
      <c r="P7" s="664"/>
      <c r="Q7" s="665" t="s">
        <v>143</v>
      </c>
      <c r="R7" s="229" t="s">
        <v>71</v>
      </c>
      <c r="S7" s="229" t="s">
        <v>218</v>
      </c>
      <c r="T7" s="191"/>
    </row>
    <row r="8" spans="1:20" ht="12.75">
      <c r="A8" s="450" t="s">
        <v>144</v>
      </c>
      <c r="B8" s="663"/>
      <c r="C8" s="666" t="s">
        <v>145</v>
      </c>
      <c r="D8" s="662"/>
      <c r="E8" s="229" t="s">
        <v>203</v>
      </c>
      <c r="F8" s="662"/>
      <c r="G8" s="666" t="s">
        <v>145</v>
      </c>
      <c r="H8" s="229" t="s">
        <v>205</v>
      </c>
      <c r="I8" s="229" t="s">
        <v>53</v>
      </c>
      <c r="J8" s="667"/>
      <c r="K8" s="450" t="s">
        <v>46</v>
      </c>
      <c r="L8" s="663"/>
      <c r="M8" s="450" t="s">
        <v>145</v>
      </c>
      <c r="N8" s="663"/>
      <c r="O8" s="229" t="s">
        <v>203</v>
      </c>
      <c r="P8" s="664"/>
      <c r="Q8" s="665" t="s">
        <v>145</v>
      </c>
      <c r="R8" s="229" t="s">
        <v>205</v>
      </c>
      <c r="S8" s="229" t="s">
        <v>53</v>
      </c>
      <c r="T8" s="191"/>
    </row>
    <row r="9" spans="1:20" s="79" customFormat="1" ht="13.5" thickBot="1">
      <c r="A9" s="560" t="s">
        <v>146</v>
      </c>
      <c r="B9" s="668"/>
      <c r="C9" s="669" t="s">
        <v>147</v>
      </c>
      <c r="D9" s="670"/>
      <c r="E9" s="657" t="s">
        <v>148</v>
      </c>
      <c r="F9" s="670"/>
      <c r="G9" s="669" t="s">
        <v>147</v>
      </c>
      <c r="H9" s="657" t="s">
        <v>206</v>
      </c>
      <c r="I9" s="657" t="s">
        <v>96</v>
      </c>
      <c r="J9" s="671"/>
      <c r="K9" s="560" t="s">
        <v>202</v>
      </c>
      <c r="L9" s="668"/>
      <c r="M9" s="560" t="s">
        <v>147</v>
      </c>
      <c r="N9" s="668"/>
      <c r="O9" s="657" t="s">
        <v>148</v>
      </c>
      <c r="P9" s="672"/>
      <c r="Q9" s="673" t="s">
        <v>147</v>
      </c>
      <c r="R9" s="657" t="s">
        <v>206</v>
      </c>
      <c r="S9" s="657" t="s">
        <v>96</v>
      </c>
      <c r="T9" s="349"/>
    </row>
    <row r="10" spans="1:19" ht="15">
      <c r="A10" s="674">
        <v>1</v>
      </c>
      <c r="B10" s="675"/>
      <c r="C10" s="676">
        <f aca="true" t="shared" si="0" ref="C10:C19">100*(1/COS(A10/57.3)-1)</f>
        <v>0.015230560214729572</v>
      </c>
      <c r="D10" s="675"/>
      <c r="E10" s="676">
        <f aca="true" t="shared" si="1" ref="E10:E19">C10*$D$4/100</f>
        <v>0.0015230560214729572</v>
      </c>
      <c r="F10" s="675"/>
      <c r="G10" s="677">
        <f aca="true" t="shared" si="2" ref="G10:G19">E10*$D$5</f>
        <v>0.3350723247240506</v>
      </c>
      <c r="H10" s="677"/>
      <c r="I10" s="678">
        <f aca="true" t="shared" si="3" ref="I10:I19">SIN(A10/57.3)*D$4</f>
        <v>0.17451121093922425</v>
      </c>
      <c r="J10" s="667"/>
      <c r="K10" s="674">
        <v>1</v>
      </c>
      <c r="L10" s="675"/>
      <c r="M10" s="676">
        <f aca="true" t="shared" si="4" ref="M10:M19">100*(1/COS(K10/57.3)-1)</f>
        <v>0.015230560214729572</v>
      </c>
      <c r="N10" s="675"/>
      <c r="O10" s="676">
        <f>M10*$N$4/100</f>
        <v>0.00106613921503107</v>
      </c>
      <c r="P10" s="675"/>
      <c r="Q10" s="749">
        <f>O10*$N$5</f>
        <v>0</v>
      </c>
      <c r="R10" s="661"/>
      <c r="S10" s="678">
        <f>SIN(K10/57.3)*N$4</f>
        <v>0.12215784765745698</v>
      </c>
    </row>
    <row r="11" spans="1:19" ht="15">
      <c r="A11" s="674">
        <v>2</v>
      </c>
      <c r="B11" s="675"/>
      <c r="C11" s="676">
        <f t="shared" si="0"/>
        <v>0.06094544633776788</v>
      </c>
      <c r="D11" s="675"/>
      <c r="E11" s="676">
        <f t="shared" si="1"/>
        <v>0.006094544633776788</v>
      </c>
      <c r="F11" s="675"/>
      <c r="G11" s="747">
        <f t="shared" si="2"/>
        <v>1.3407998194308934</v>
      </c>
      <c r="H11" s="679"/>
      <c r="I11" s="678">
        <f t="shared" si="3"/>
        <v>0.3489692719033604</v>
      </c>
      <c r="J11" s="667"/>
      <c r="K11" s="674">
        <v>2</v>
      </c>
      <c r="L11" s="675"/>
      <c r="M11" s="676">
        <f t="shared" si="4"/>
        <v>0.06094544633776788</v>
      </c>
      <c r="N11" s="675"/>
      <c r="O11" s="676">
        <f aca="true" t="shared" si="5" ref="O11:O52">M11*$N$4/100</f>
        <v>0.004266181243643752</v>
      </c>
      <c r="P11" s="675"/>
      <c r="Q11" s="747">
        <f aca="true" t="shared" si="6" ref="Q11:Q52">O11*$N$5</f>
        <v>0</v>
      </c>
      <c r="R11" s="667"/>
      <c r="S11" s="678">
        <f aca="true" t="shared" si="7" ref="S11:S19">SIN(K11/57.3)*N$4</f>
        <v>0.24427849033235227</v>
      </c>
    </row>
    <row r="12" spans="1:19" ht="15">
      <c r="A12" s="674">
        <v>3</v>
      </c>
      <c r="B12" s="675"/>
      <c r="C12" s="676">
        <f t="shared" si="0"/>
        <v>0.137214361128013</v>
      </c>
      <c r="D12" s="675"/>
      <c r="E12" s="676">
        <f t="shared" si="1"/>
        <v>0.0137214361128013</v>
      </c>
      <c r="F12" s="675"/>
      <c r="G12" s="747">
        <f t="shared" si="2"/>
        <v>3.018715944816286</v>
      </c>
      <c r="H12" s="679"/>
      <c r="I12" s="678">
        <f t="shared" si="3"/>
        <v>0.5233210491049326</v>
      </c>
      <c r="J12" s="667"/>
      <c r="K12" s="674">
        <v>3</v>
      </c>
      <c r="L12" s="675"/>
      <c r="M12" s="676">
        <f t="shared" si="4"/>
        <v>0.137214361128013</v>
      </c>
      <c r="N12" s="675"/>
      <c r="O12" s="676">
        <f t="shared" si="5"/>
        <v>0.00960500527896091</v>
      </c>
      <c r="P12" s="675"/>
      <c r="Q12" s="747">
        <f t="shared" si="6"/>
        <v>0</v>
      </c>
      <c r="R12" s="667"/>
      <c r="S12" s="678">
        <f t="shared" si="7"/>
        <v>0.3663247343734528</v>
      </c>
    </row>
    <row r="13" spans="1:19" ht="15">
      <c r="A13" s="674">
        <v>4</v>
      </c>
      <c r="B13" s="675"/>
      <c r="C13" s="676">
        <f t="shared" si="0"/>
        <v>0.24415376418953638</v>
      </c>
      <c r="D13" s="675"/>
      <c r="E13" s="676">
        <f t="shared" si="1"/>
        <v>0.024415376418953638</v>
      </c>
      <c r="F13" s="675"/>
      <c r="G13" s="747">
        <f t="shared" si="2"/>
        <v>5.3713828121698</v>
      </c>
      <c r="H13" s="679"/>
      <c r="I13" s="678">
        <f t="shared" si="3"/>
        <v>0.6975134411267602</v>
      </c>
      <c r="J13" s="667"/>
      <c r="K13" s="674">
        <v>4</v>
      </c>
      <c r="L13" s="675"/>
      <c r="M13" s="676">
        <f t="shared" si="4"/>
        <v>0.24415376418953638</v>
      </c>
      <c r="N13" s="675"/>
      <c r="O13" s="676">
        <f t="shared" si="5"/>
        <v>0.017090763493267547</v>
      </c>
      <c r="P13" s="675"/>
      <c r="Q13" s="747">
        <f t="shared" si="6"/>
        <v>0</v>
      </c>
      <c r="R13" s="667"/>
      <c r="S13" s="678">
        <f t="shared" si="7"/>
        <v>0.4882594087887321</v>
      </c>
    </row>
    <row r="14" spans="1:19" ht="15">
      <c r="A14" s="674">
        <v>5</v>
      </c>
      <c r="B14" s="675"/>
      <c r="C14" s="676">
        <f t="shared" si="0"/>
        <v>0.3819273065807316</v>
      </c>
      <c r="D14" s="675"/>
      <c r="E14" s="676">
        <f t="shared" si="1"/>
        <v>0.03819273065807316</v>
      </c>
      <c r="F14" s="675"/>
      <c r="G14" s="747">
        <f t="shared" si="2"/>
        <v>8.402400744776095</v>
      </c>
      <c r="H14" s="679"/>
      <c r="I14" s="678">
        <f t="shared" si="3"/>
        <v>0.87149339509478</v>
      </c>
      <c r="J14" s="667"/>
      <c r="K14" s="674">
        <v>5</v>
      </c>
      <c r="L14" s="675"/>
      <c r="M14" s="676">
        <f t="shared" si="4"/>
        <v>0.3819273065807316</v>
      </c>
      <c r="N14" s="675"/>
      <c r="O14" s="676">
        <f t="shared" si="5"/>
        <v>0.02673491146065121</v>
      </c>
      <c r="P14" s="675"/>
      <c r="Q14" s="747">
        <f t="shared" si="6"/>
        <v>0</v>
      </c>
      <c r="R14" s="667"/>
      <c r="S14" s="678">
        <f t="shared" si="7"/>
        <v>0.6100453765663459</v>
      </c>
    </row>
    <row r="15" spans="1:19" ht="15">
      <c r="A15" s="674">
        <v>6</v>
      </c>
      <c r="B15" s="675"/>
      <c r="C15" s="676">
        <f t="shared" si="0"/>
        <v>0.5507464434911347</v>
      </c>
      <c r="D15" s="675"/>
      <c r="E15" s="676">
        <f>C15*$D$4/100</f>
        <v>0.055074644349113466</v>
      </c>
      <c r="F15" s="675"/>
      <c r="G15" s="747">
        <f t="shared" si="2"/>
        <v>12.116421756804963</v>
      </c>
      <c r="H15" s="679"/>
      <c r="I15" s="678">
        <f t="shared" si="3"/>
        <v>1.0452079228360864</v>
      </c>
      <c r="J15" s="667"/>
      <c r="K15" s="674">
        <v>6</v>
      </c>
      <c r="L15" s="675"/>
      <c r="M15" s="676">
        <f>100*(1/COS(K15/57.3)-1)</f>
        <v>0.5507464434911347</v>
      </c>
      <c r="N15" s="675"/>
      <c r="O15" s="676">
        <f t="shared" si="5"/>
        <v>0.038552251044379426</v>
      </c>
      <c r="P15" s="675"/>
      <c r="Q15" s="747">
        <f t="shared" si="6"/>
        <v>0</v>
      </c>
      <c r="R15" s="667"/>
      <c r="S15" s="678">
        <f t="shared" si="7"/>
        <v>0.7316455459852604</v>
      </c>
    </row>
    <row r="16" spans="1:19" ht="15">
      <c r="A16" s="674">
        <v>7</v>
      </c>
      <c r="B16" s="675"/>
      <c r="C16" s="676">
        <f t="shared" si="0"/>
        <v>0.7508712292674025</v>
      </c>
      <c r="D16" s="675"/>
      <c r="E16" s="676">
        <f t="shared" si="1"/>
        <v>0.07508712292674025</v>
      </c>
      <c r="F16" s="675"/>
      <c r="G16" s="747">
        <f t="shared" si="2"/>
        <v>16.519167043882852</v>
      </c>
      <c r="H16" s="679"/>
      <c r="I16" s="678">
        <f t="shared" si="3"/>
        <v>1.218604117017264</v>
      </c>
      <c r="J16" s="667"/>
      <c r="K16" s="674">
        <v>7</v>
      </c>
      <c r="L16" s="675"/>
      <c r="M16" s="676">
        <f>100*(1/COS(K16/57.3)-1)</f>
        <v>0.7508712292674025</v>
      </c>
      <c r="N16" s="675"/>
      <c r="O16" s="676">
        <f>M16*$N$4/100</f>
        <v>0.05256098604871817</v>
      </c>
      <c r="P16" s="675"/>
      <c r="Q16" s="747">
        <f>O16*$N$5</f>
        <v>0</v>
      </c>
      <c r="R16" s="667"/>
      <c r="S16" s="678">
        <f t="shared" si="7"/>
        <v>0.8530228819120849</v>
      </c>
    </row>
    <row r="17" spans="1:19" ht="15">
      <c r="A17" s="674">
        <v>8</v>
      </c>
      <c r="B17" s="675"/>
      <c r="C17" s="676">
        <f t="shared" si="0"/>
        <v>0.9826113003741366</v>
      </c>
      <c r="D17" s="675"/>
      <c r="E17" s="676">
        <f t="shared" si="1"/>
        <v>0.09826113003741366</v>
      </c>
      <c r="F17" s="675"/>
      <c r="G17" s="747">
        <f t="shared" si="2"/>
        <v>21.617448608231005</v>
      </c>
      <c r="H17" s="679"/>
      <c r="I17" s="678">
        <f t="shared" si="3"/>
        <v>1.3916291672580998</v>
      </c>
      <c r="J17" s="667"/>
      <c r="K17" s="674">
        <v>8</v>
      </c>
      <c r="L17" s="675"/>
      <c r="M17" s="676">
        <f t="shared" si="4"/>
        <v>0.9826113003741366</v>
      </c>
      <c r="N17" s="675"/>
      <c r="O17" s="676">
        <f t="shared" si="5"/>
        <v>0.06878279102618956</v>
      </c>
      <c r="P17" s="675"/>
      <c r="Q17" s="747">
        <f t="shared" si="6"/>
        <v>0</v>
      </c>
      <c r="R17" s="667"/>
      <c r="S17" s="678">
        <f t="shared" si="7"/>
        <v>0.97414041708067</v>
      </c>
    </row>
    <row r="18" spans="1:19" ht="15">
      <c r="A18" s="674">
        <v>9</v>
      </c>
      <c r="B18" s="675"/>
      <c r="C18" s="676">
        <f t="shared" si="0"/>
        <v>1.2463270532441229</v>
      </c>
      <c r="D18" s="675"/>
      <c r="E18" s="676">
        <f t="shared" si="1"/>
        <v>0.12463270532441229</v>
      </c>
      <c r="F18" s="675"/>
      <c r="G18" s="747">
        <f t="shared" si="2"/>
        <v>27.419195171370703</v>
      </c>
      <c r="H18" s="679"/>
      <c r="I18" s="678">
        <f t="shared" si="3"/>
        <v>1.5642303762157674</v>
      </c>
      <c r="J18" s="667"/>
      <c r="K18" s="674">
        <v>9</v>
      </c>
      <c r="L18" s="675"/>
      <c r="M18" s="676">
        <f t="shared" si="4"/>
        <v>1.2463270532441229</v>
      </c>
      <c r="N18" s="675"/>
      <c r="O18" s="676">
        <f t="shared" si="5"/>
        <v>0.0872428937270886</v>
      </c>
      <c r="P18" s="675"/>
      <c r="Q18" s="747">
        <f t="shared" si="6"/>
        <v>0</v>
      </c>
      <c r="R18" s="667"/>
      <c r="S18" s="678">
        <f t="shared" si="7"/>
        <v>1.0949612633510373</v>
      </c>
    </row>
    <row r="19" spans="1:19" ht="15">
      <c r="A19" s="674">
        <v>10</v>
      </c>
      <c r="B19" s="675"/>
      <c r="C19" s="676">
        <f t="shared" si="0"/>
        <v>1.5424310254206208</v>
      </c>
      <c r="D19" s="675"/>
      <c r="E19" s="676">
        <f t="shared" si="1"/>
        <v>0.15424310254206208</v>
      </c>
      <c r="F19" s="675"/>
      <c r="G19" s="747">
        <f t="shared" si="2"/>
        <v>33.93348255925366</v>
      </c>
      <c r="H19" s="679"/>
      <c r="I19" s="678">
        <f t="shared" si="3"/>
        <v>1.7363551756345839</v>
      </c>
      <c r="J19" s="667"/>
      <c r="K19" s="674">
        <v>10</v>
      </c>
      <c r="L19" s="675"/>
      <c r="M19" s="676">
        <f t="shared" si="4"/>
        <v>1.5424310254206208</v>
      </c>
      <c r="N19" s="675"/>
      <c r="O19" s="676">
        <f t="shared" si="5"/>
        <v>0.10797017177944346</v>
      </c>
      <c r="P19" s="675"/>
      <c r="Q19" s="747">
        <f t="shared" si="6"/>
        <v>0</v>
      </c>
      <c r="R19" s="667"/>
      <c r="S19" s="678">
        <f t="shared" si="7"/>
        <v>1.2154486229442087</v>
      </c>
    </row>
    <row r="20" spans="1:19" s="52" customFormat="1" ht="15">
      <c r="A20" s="680"/>
      <c r="B20" s="681"/>
      <c r="C20" s="682"/>
      <c r="D20" s="681"/>
      <c r="E20" s="682"/>
      <c r="F20" s="681"/>
      <c r="G20" s="748"/>
      <c r="H20" s="683"/>
      <c r="I20" s="683"/>
      <c r="J20" s="684"/>
      <c r="K20" s="680"/>
      <c r="L20" s="681"/>
      <c r="M20" s="682"/>
      <c r="N20" s="681"/>
      <c r="O20" s="682"/>
      <c r="P20" s="681"/>
      <c r="Q20" s="748"/>
      <c r="R20" s="684"/>
      <c r="S20" s="683"/>
    </row>
    <row r="21" spans="1:19" ht="15">
      <c r="A21" s="674">
        <v>11</v>
      </c>
      <c r="B21" s="675"/>
      <c r="C21" s="676">
        <f aca="true" t="shared" si="8" ref="C21:C30">100*(1/COS(A21/57.3)-1)</f>
        <v>1.8713894899389238</v>
      </c>
      <c r="D21" s="675"/>
      <c r="E21" s="676">
        <f aca="true" t="shared" si="9" ref="E21:E30">C21*$D$4/100</f>
        <v>0.18713894899389238</v>
      </c>
      <c r="F21" s="675"/>
      <c r="G21" s="747">
        <f aca="true" t="shared" si="10" ref="G21:G30">E21*$D$5</f>
        <v>41.170568778656325</v>
      </c>
      <c r="H21" s="679"/>
      <c r="I21" s="678">
        <f aca="true" t="shared" si="11" ref="I21:I30">SIN(A21/57.3)*D$4</f>
        <v>1.9079511423564488</v>
      </c>
      <c r="J21" s="667"/>
      <c r="K21" s="674">
        <v>11</v>
      </c>
      <c r="L21" s="675"/>
      <c r="M21" s="676">
        <f aca="true" t="shared" si="12" ref="M21:M30">100*(1/COS(K21/57.3)-1)</f>
        <v>1.8713894899389238</v>
      </c>
      <c r="N21" s="675"/>
      <c r="O21" s="676">
        <f t="shared" si="5"/>
        <v>0.13099726429572467</v>
      </c>
      <c r="P21" s="675"/>
      <c r="Q21" s="747">
        <f t="shared" si="6"/>
        <v>0</v>
      </c>
      <c r="R21" s="667"/>
      <c r="S21" s="678">
        <f aca="true" t="shared" si="13" ref="S21:S30">SIN(K21/57.3)*N$4</f>
        <v>1.335565799649514</v>
      </c>
    </row>
    <row r="22" spans="1:19" ht="15">
      <c r="A22" s="674">
        <v>12</v>
      </c>
      <c r="B22" s="675"/>
      <c r="C22" s="676">
        <f t="shared" si="8"/>
        <v>2.233724274556015</v>
      </c>
      <c r="D22" s="675"/>
      <c r="E22" s="676">
        <f t="shared" si="9"/>
        <v>0.22337242745560146</v>
      </c>
      <c r="F22" s="675"/>
      <c r="G22" s="747">
        <f t="shared" si="10"/>
        <v>49.14193404023232</v>
      </c>
      <c r="H22" s="679"/>
      <c r="I22" s="678">
        <f t="shared" si="11"/>
        <v>2.0789660142870976</v>
      </c>
      <c r="J22" s="667"/>
      <c r="K22" s="674">
        <v>12</v>
      </c>
      <c r="L22" s="675"/>
      <c r="M22" s="676">
        <f t="shared" si="12"/>
        <v>2.233724274556015</v>
      </c>
      <c r="N22" s="675"/>
      <c r="O22" s="676">
        <f t="shared" si="5"/>
        <v>0.15636069921892104</v>
      </c>
      <c r="P22" s="675"/>
      <c r="Q22" s="747">
        <f t="shared" si="6"/>
        <v>0</v>
      </c>
      <c r="R22" s="667"/>
      <c r="S22" s="678">
        <f t="shared" si="13"/>
        <v>1.4552762100009682</v>
      </c>
    </row>
    <row r="23" spans="1:19" ht="15">
      <c r="A23" s="674">
        <v>13</v>
      </c>
      <c r="B23" s="675"/>
      <c r="C23" s="676">
        <f t="shared" si="8"/>
        <v>2.63001481923566</v>
      </c>
      <c r="D23" s="675"/>
      <c r="E23" s="676">
        <f t="shared" si="9"/>
        <v>0.263001481923566</v>
      </c>
      <c r="F23" s="675"/>
      <c r="G23" s="747">
        <f t="shared" si="10"/>
        <v>57.86032602318451</v>
      </c>
      <c r="H23" s="679"/>
      <c r="I23" s="678">
        <f t="shared" si="11"/>
        <v>2.249347706313293</v>
      </c>
      <c r="J23" s="667"/>
      <c r="K23" s="674">
        <v>13</v>
      </c>
      <c r="L23" s="675"/>
      <c r="M23" s="676">
        <f t="shared" si="12"/>
        <v>2.63001481923566</v>
      </c>
      <c r="N23" s="675"/>
      <c r="O23" s="676">
        <f t="shared" si="5"/>
        <v>0.18410103734649616</v>
      </c>
      <c r="P23" s="675"/>
      <c r="Q23" s="747">
        <f t="shared" si="6"/>
        <v>0</v>
      </c>
      <c r="R23" s="667"/>
      <c r="S23" s="678">
        <f t="shared" si="13"/>
        <v>1.574543394419305</v>
      </c>
    </row>
    <row r="24" spans="1:19" ht="15">
      <c r="A24" s="674">
        <v>14</v>
      </c>
      <c r="B24" s="675"/>
      <c r="C24" s="676">
        <f>100*(1/COS(A24/57.3)-1)</f>
        <v>3.060900487255691</v>
      </c>
      <c r="D24" s="675"/>
      <c r="E24" s="676">
        <f t="shared" si="9"/>
        <v>0.3060900487255691</v>
      </c>
      <c r="F24" s="675"/>
      <c r="G24" s="747">
        <f t="shared" si="10"/>
        <v>67.3398107196252</v>
      </c>
      <c r="H24" s="679"/>
      <c r="I24" s="678">
        <f t="shared" si="11"/>
        <v>2.419044326166121</v>
      </c>
      <c r="J24" s="667"/>
      <c r="K24" s="674">
        <v>14</v>
      </c>
      <c r="L24" s="675"/>
      <c r="M24" s="676">
        <f t="shared" si="12"/>
        <v>3.060900487255691</v>
      </c>
      <c r="N24" s="675"/>
      <c r="O24" s="676">
        <f t="shared" si="5"/>
        <v>0.21426303410789838</v>
      </c>
      <c r="P24" s="675"/>
      <c r="Q24" s="747">
        <f t="shared" si="6"/>
        <v>0</v>
      </c>
      <c r="R24" s="667"/>
      <c r="S24" s="678">
        <f t="shared" si="13"/>
        <v>1.6933310283162848</v>
      </c>
    </row>
    <row r="25" spans="1:19" ht="15">
      <c r="A25" s="674">
        <v>15</v>
      </c>
      <c r="B25" s="675"/>
      <c r="C25" s="676">
        <f t="shared" si="8"/>
        <v>3.527083147451915</v>
      </c>
      <c r="D25" s="675"/>
      <c r="E25" s="676">
        <f t="shared" si="9"/>
        <v>0.3527083147451915</v>
      </c>
      <c r="F25" s="675"/>
      <c r="G25" s="747">
        <f t="shared" si="10"/>
        <v>77.59582924394212</v>
      </c>
      <c r="H25" s="679"/>
      <c r="I25" s="678">
        <f t="shared" si="11"/>
        <v>2.5880041902255484</v>
      </c>
      <c r="J25" s="667"/>
      <c r="K25" s="674">
        <v>15</v>
      </c>
      <c r="L25" s="675"/>
      <c r="M25" s="676">
        <f t="shared" si="12"/>
        <v>3.527083147451915</v>
      </c>
      <c r="N25" s="675"/>
      <c r="O25" s="676">
        <f t="shared" si="5"/>
        <v>0.24689582032163404</v>
      </c>
      <c r="P25" s="675"/>
      <c r="Q25" s="747">
        <f t="shared" si="6"/>
        <v>0</v>
      </c>
      <c r="R25" s="667"/>
      <c r="S25" s="678">
        <f t="shared" si="13"/>
        <v>1.811602933157884</v>
      </c>
    </row>
    <row r="26" spans="1:19" ht="15">
      <c r="A26" s="674">
        <v>16</v>
      </c>
      <c r="B26" s="675"/>
      <c r="C26" s="676">
        <f t="shared" si="8"/>
        <v>4.029330047477142</v>
      </c>
      <c r="D26" s="675"/>
      <c r="E26" s="676">
        <f t="shared" si="9"/>
        <v>0.4029330047477142</v>
      </c>
      <c r="F26" s="675"/>
      <c r="G26" s="747">
        <f t="shared" si="10"/>
        <v>88.64526104449712</v>
      </c>
      <c r="H26" s="679"/>
      <c r="I26" s="678">
        <f t="shared" si="11"/>
        <v>2.7561758392614353</v>
      </c>
      <c r="J26" s="667"/>
      <c r="K26" s="674">
        <v>16</v>
      </c>
      <c r="L26" s="675"/>
      <c r="M26" s="676">
        <f t="shared" si="12"/>
        <v>4.029330047477142</v>
      </c>
      <c r="N26" s="675"/>
      <c r="O26" s="676">
        <f t="shared" si="5"/>
        <v>0.28205310332339995</v>
      </c>
      <c r="P26" s="675"/>
      <c r="Q26" s="747">
        <f t="shared" si="6"/>
        <v>0</v>
      </c>
      <c r="R26" s="667"/>
      <c r="S26" s="678">
        <f t="shared" si="13"/>
        <v>1.929323087483005</v>
      </c>
    </row>
    <row r="27" spans="1:19" ht="15">
      <c r="A27" s="674">
        <v>17</v>
      </c>
      <c r="B27" s="675"/>
      <c r="C27" s="676">
        <f t="shared" si="8"/>
        <v>4.568477000570081</v>
      </c>
      <c r="D27" s="675"/>
      <c r="E27" s="676">
        <f t="shared" si="9"/>
        <v>0.45684770005700814</v>
      </c>
      <c r="F27" s="675"/>
      <c r="G27" s="747">
        <f t="shared" si="10"/>
        <v>100.5064940125418</v>
      </c>
      <c r="H27" s="679"/>
      <c r="I27" s="678">
        <f t="shared" si="11"/>
        <v>2.923508054106207</v>
      </c>
      <c r="J27" s="667"/>
      <c r="K27" s="674">
        <v>17</v>
      </c>
      <c r="L27" s="675"/>
      <c r="M27" s="676">
        <f t="shared" si="12"/>
        <v>4.568477000570081</v>
      </c>
      <c r="N27" s="675"/>
      <c r="O27" s="676">
        <f t="shared" si="5"/>
        <v>0.3197933900399057</v>
      </c>
      <c r="P27" s="675"/>
      <c r="Q27" s="747">
        <f t="shared" si="6"/>
        <v>0</v>
      </c>
      <c r="R27" s="667"/>
      <c r="S27" s="678">
        <f t="shared" si="13"/>
        <v>2.046455637874345</v>
      </c>
    </row>
    <row r="28" spans="1:19" ht="15">
      <c r="A28" s="674">
        <v>18</v>
      </c>
      <c r="B28" s="675"/>
      <c r="C28" s="676">
        <f t="shared" si="8"/>
        <v>5.145431911234688</v>
      </c>
      <c r="D28" s="675"/>
      <c r="E28" s="676">
        <f t="shared" si="9"/>
        <v>0.5145431911234688</v>
      </c>
      <c r="F28" s="675"/>
      <c r="G28" s="747">
        <f t="shared" si="10"/>
        <v>113.19950204716314</v>
      </c>
      <c r="H28" s="679"/>
      <c r="I28" s="678">
        <f t="shared" si="11"/>
        <v>3.0899498712544093</v>
      </c>
      <c r="J28" s="667"/>
      <c r="K28" s="674">
        <v>18</v>
      </c>
      <c r="L28" s="675"/>
      <c r="M28" s="676">
        <f t="shared" si="12"/>
        <v>5.145431911234688</v>
      </c>
      <c r="N28" s="675"/>
      <c r="O28" s="676">
        <f t="shared" si="5"/>
        <v>0.36018023378642816</v>
      </c>
      <c r="P28" s="675"/>
      <c r="Q28" s="747">
        <f t="shared" si="6"/>
        <v>0</v>
      </c>
      <c r="R28" s="667"/>
      <c r="S28" s="678">
        <f t="shared" si="13"/>
        <v>2.1629649098780863</v>
      </c>
    </row>
    <row r="29" spans="1:19" ht="15">
      <c r="A29" s="674">
        <v>19</v>
      </c>
      <c r="B29" s="675"/>
      <c r="C29" s="676">
        <f t="shared" si="8"/>
        <v>5.761178668470168</v>
      </c>
      <c r="D29" s="675"/>
      <c r="E29" s="676">
        <f t="shared" si="9"/>
        <v>0.5761178668470168</v>
      </c>
      <c r="F29" s="675"/>
      <c r="G29" s="747">
        <f t="shared" si="10"/>
        <v>126.7459307063437</v>
      </c>
      <c r="H29" s="679"/>
      <c r="I29" s="678">
        <f t="shared" si="11"/>
        <v>3.2554505983844004</v>
      </c>
      <c r="J29" s="667"/>
      <c r="K29" s="674">
        <v>19</v>
      </c>
      <c r="L29" s="675"/>
      <c r="M29" s="676">
        <f t="shared" si="12"/>
        <v>5.761178668470168</v>
      </c>
      <c r="N29" s="675"/>
      <c r="O29" s="676">
        <f t="shared" si="5"/>
        <v>0.4032825067929118</v>
      </c>
      <c r="P29" s="675"/>
      <c r="Q29" s="747">
        <f t="shared" si="6"/>
        <v>0</v>
      </c>
      <c r="R29" s="667"/>
      <c r="S29" s="678">
        <f t="shared" si="13"/>
        <v>2.2788154188690806</v>
      </c>
    </row>
    <row r="30" spans="1:19" ht="15">
      <c r="A30" s="674">
        <v>20</v>
      </c>
      <c r="B30" s="675"/>
      <c r="C30" s="676">
        <f t="shared" si="8"/>
        <v>6.416781438818431</v>
      </c>
      <c r="D30" s="675"/>
      <c r="E30" s="676">
        <f t="shared" si="9"/>
        <v>0.6416781438818431</v>
      </c>
      <c r="F30" s="675"/>
      <c r="G30" s="747">
        <f t="shared" si="10"/>
        <v>141.1691916540055</v>
      </c>
      <c r="H30" s="679"/>
      <c r="I30" s="678">
        <f t="shared" si="11"/>
        <v>3.419959829797449</v>
      </c>
      <c r="J30" s="667"/>
      <c r="K30" s="674">
        <v>20</v>
      </c>
      <c r="L30" s="675"/>
      <c r="M30" s="676">
        <f t="shared" si="12"/>
        <v>6.416781438818431</v>
      </c>
      <c r="N30" s="675"/>
      <c r="O30" s="676">
        <f t="shared" si="5"/>
        <v>0.44917470071729015</v>
      </c>
      <c r="P30" s="675"/>
      <c r="Q30" s="747">
        <f t="shared" si="6"/>
        <v>0</v>
      </c>
      <c r="R30" s="667"/>
      <c r="S30" s="678">
        <f t="shared" si="13"/>
        <v>2.393971880858214</v>
      </c>
    </row>
    <row r="31" spans="1:19" s="52" customFormat="1" ht="15">
      <c r="A31" s="680"/>
      <c r="B31" s="681"/>
      <c r="C31" s="682"/>
      <c r="D31" s="681"/>
      <c r="E31" s="682"/>
      <c r="F31" s="681"/>
      <c r="G31" s="748"/>
      <c r="H31" s="683"/>
      <c r="I31" s="683"/>
      <c r="J31" s="684"/>
      <c r="K31" s="680"/>
      <c r="L31" s="681"/>
      <c r="M31" s="682"/>
      <c r="N31" s="681"/>
      <c r="O31" s="682"/>
      <c r="P31" s="681"/>
      <c r="Q31" s="748"/>
      <c r="R31" s="684"/>
      <c r="S31" s="683"/>
    </row>
    <row r="32" spans="1:20" ht="15">
      <c r="A32" s="674">
        <v>21</v>
      </c>
      <c r="B32" s="675"/>
      <c r="C32" s="676">
        <f aca="true" t="shared" si="14" ref="C32:C41">100*(1/COS(A32/57.3)-1)</f>
        <v>7.1133893955632965</v>
      </c>
      <c r="D32" s="675"/>
      <c r="E32" s="676">
        <f aca="true" t="shared" si="15" ref="E32:E41">C32*$D$4/100</f>
        <v>0.7113389395563297</v>
      </c>
      <c r="F32" s="675"/>
      <c r="G32" s="747">
        <f aca="true" t="shared" si="16" ref="G32:G41">E32*$D$5</f>
        <v>156.49456670239252</v>
      </c>
      <c r="H32" s="679"/>
      <c r="I32" s="678">
        <f aca="true" t="shared" si="17" ref="I32:I41">SIN(A32/57.3)*D$4</f>
        <v>3.583427461769533</v>
      </c>
      <c r="J32" s="667"/>
      <c r="K32" s="757">
        <v>21</v>
      </c>
      <c r="L32" s="758"/>
      <c r="M32" s="759">
        <f aca="true" t="shared" si="18" ref="M32:M41">100*(1/COS(K32/57.3)-1)</f>
        <v>7.1133893955632965</v>
      </c>
      <c r="N32" s="758"/>
      <c r="O32" s="759">
        <f t="shared" si="5"/>
        <v>0.49793725768943076</v>
      </c>
      <c r="P32" s="758"/>
      <c r="Q32" s="748">
        <f t="shared" si="6"/>
        <v>0</v>
      </c>
      <c r="R32" s="760">
        <f>-ROUND(3600/(N$4-O32)-3600/(N$4-O32),)</f>
        <v>0</v>
      </c>
      <c r="S32" s="761">
        <f aca="true" t="shared" si="19" ref="S32:S41">SIN(K32/57.3)*N$4</f>
        <v>2.508399223238673</v>
      </c>
      <c r="T32" s="551"/>
    </row>
    <row r="33" spans="1:20" ht="15">
      <c r="A33" s="685">
        <v>22</v>
      </c>
      <c r="B33" s="686"/>
      <c r="C33" s="687">
        <f t="shared" si="14"/>
        <v>7.8522419249980935</v>
      </c>
      <c r="D33" s="686"/>
      <c r="E33" s="687">
        <f t="shared" si="15"/>
        <v>0.7852241924998095</v>
      </c>
      <c r="F33" s="686"/>
      <c r="G33" s="747">
        <f t="shared" si="16"/>
        <v>172.74932234995808</v>
      </c>
      <c r="H33" s="688"/>
      <c r="I33" s="678">
        <f t="shared" si="17"/>
        <v>3.7458037078111768</v>
      </c>
      <c r="J33" s="667"/>
      <c r="K33" s="674">
        <v>22</v>
      </c>
      <c r="L33" s="675"/>
      <c r="M33" s="676">
        <f t="shared" si="18"/>
        <v>7.8522419249980935</v>
      </c>
      <c r="N33" s="675"/>
      <c r="O33" s="676">
        <f t="shared" si="5"/>
        <v>0.5496569347498665</v>
      </c>
      <c r="P33" s="675"/>
      <c r="Q33" s="747">
        <f t="shared" si="6"/>
        <v>0</v>
      </c>
      <c r="R33" s="688">
        <f>-ROUND(3600/(N$4-O$32)-3600/(N$4-O33),)</f>
        <v>4</v>
      </c>
      <c r="S33" s="678">
        <f t="shared" si="19"/>
        <v>2.6220625954678236</v>
      </c>
      <c r="T33" s="550"/>
    </row>
    <row r="34" spans="1:20" ht="15">
      <c r="A34" s="674">
        <v>23</v>
      </c>
      <c r="B34" s="675"/>
      <c r="C34" s="676">
        <f t="shared" si="14"/>
        <v>8.63467435584897</v>
      </c>
      <c r="D34" s="675"/>
      <c r="E34" s="676">
        <f t="shared" si="15"/>
        <v>0.863467435584897</v>
      </c>
      <c r="F34" s="675"/>
      <c r="G34" s="750">
        <f t="shared" si="16"/>
        <v>189.96283582867736</v>
      </c>
      <c r="H34" s="688">
        <f aca="true" t="shared" si="20" ref="H34:H41">-ROUND(3600/(D$4-E$34)-3600/(D$4-E34),)</f>
        <v>0</v>
      </c>
      <c r="I34" s="678">
        <f t="shared" si="17"/>
        <v>3.9070391138306593</v>
      </c>
      <c r="J34" s="667"/>
      <c r="K34" s="674">
        <v>23</v>
      </c>
      <c r="L34" s="675"/>
      <c r="M34" s="676">
        <f t="shared" si="18"/>
        <v>8.63467435584897</v>
      </c>
      <c r="N34" s="675"/>
      <c r="O34" s="676">
        <f t="shared" si="5"/>
        <v>0.6044272049094279</v>
      </c>
      <c r="P34" s="675"/>
      <c r="Q34" s="747">
        <f t="shared" si="6"/>
        <v>0</v>
      </c>
      <c r="R34" s="688">
        <f aca="true" t="shared" si="21" ref="R34:R41">-ROUND(3600/(N$4-O$32)-3600/(N$4-O34),)</f>
        <v>9</v>
      </c>
      <c r="S34" s="678">
        <f t="shared" si="19"/>
        <v>2.7349273796814613</v>
      </c>
      <c r="T34" s="550"/>
    </row>
    <row r="35" spans="1:20" ht="15">
      <c r="A35" s="752">
        <v>24</v>
      </c>
      <c r="B35" s="753"/>
      <c r="C35" s="754">
        <f t="shared" si="14"/>
        <v>9.462124263795001</v>
      </c>
      <c r="D35" s="753"/>
      <c r="E35" s="754">
        <f t="shared" si="15"/>
        <v>0.9462124263795002</v>
      </c>
      <c r="F35" s="753"/>
      <c r="G35" s="751">
        <f t="shared" si="16"/>
        <v>208.16673380349005</v>
      </c>
      <c r="H35" s="755">
        <f t="shared" si="20"/>
        <v>4</v>
      </c>
      <c r="I35" s="756">
        <f t="shared" si="17"/>
        <v>4.067084573195993</v>
      </c>
      <c r="J35" s="667"/>
      <c r="K35" s="674">
        <v>24</v>
      </c>
      <c r="L35" s="675"/>
      <c r="M35" s="676">
        <f t="shared" si="18"/>
        <v>9.462124263795001</v>
      </c>
      <c r="N35" s="675"/>
      <c r="O35" s="676">
        <f t="shared" si="5"/>
        <v>0.66234869846565</v>
      </c>
      <c r="P35" s="675"/>
      <c r="Q35" s="747">
        <f t="shared" si="6"/>
        <v>0</v>
      </c>
      <c r="R35" s="688">
        <f t="shared" si="21"/>
        <v>14</v>
      </c>
      <c r="S35" s="678">
        <f t="shared" si="19"/>
        <v>2.8469592012371954</v>
      </c>
      <c r="T35" s="550"/>
    </row>
    <row r="36" spans="1:20" ht="15">
      <c r="A36" s="674">
        <v>25</v>
      </c>
      <c r="B36" s="675"/>
      <c r="C36" s="676">
        <f t="shared" si="14"/>
        <v>10.336138409668916</v>
      </c>
      <c r="D36" s="675"/>
      <c r="E36" s="676">
        <f t="shared" si="15"/>
        <v>1.0336138409668916</v>
      </c>
      <c r="F36" s="675"/>
      <c r="G36" s="747">
        <f t="shared" si="16"/>
        <v>227.39504501271614</v>
      </c>
      <c r="H36" s="688">
        <f t="shared" si="20"/>
        <v>7</v>
      </c>
      <c r="I36" s="678">
        <f t="shared" si="17"/>
        <v>4.225891341691076</v>
      </c>
      <c r="J36" s="667"/>
      <c r="K36" s="674">
        <v>25</v>
      </c>
      <c r="L36" s="675"/>
      <c r="M36" s="676">
        <f t="shared" si="18"/>
        <v>10.336138409668916</v>
      </c>
      <c r="N36" s="675"/>
      <c r="O36" s="676">
        <f t="shared" si="5"/>
        <v>0.7235296886768241</v>
      </c>
      <c r="P36" s="675"/>
      <c r="Q36" s="747">
        <f t="shared" si="6"/>
        <v>0</v>
      </c>
      <c r="R36" s="688">
        <f t="shared" si="21"/>
        <v>20</v>
      </c>
      <c r="S36" s="678">
        <f t="shared" si="19"/>
        <v>2.9581239391837535</v>
      </c>
      <c r="T36" s="550"/>
    </row>
    <row r="37" spans="1:20" ht="15">
      <c r="A37" s="674">
        <v>26</v>
      </c>
      <c r="B37" s="675"/>
      <c r="C37" s="676">
        <f t="shared" si="14"/>
        <v>11.258380377479615</v>
      </c>
      <c r="D37" s="675"/>
      <c r="E37" s="676">
        <f t="shared" si="15"/>
        <v>1.1258380377479613</v>
      </c>
      <c r="F37" s="675"/>
      <c r="G37" s="747">
        <f t="shared" si="16"/>
        <v>247.6843683045515</v>
      </c>
      <c r="H37" s="688">
        <f t="shared" si="20"/>
        <v>12</v>
      </c>
      <c r="I37" s="678">
        <f t="shared" si="17"/>
        <v>4.383411052361465</v>
      </c>
      <c r="J37" s="667"/>
      <c r="K37" s="674">
        <v>26</v>
      </c>
      <c r="L37" s="675"/>
      <c r="M37" s="676">
        <f t="shared" si="18"/>
        <v>11.258380377479615</v>
      </c>
      <c r="N37" s="675"/>
      <c r="O37" s="676">
        <f t="shared" si="5"/>
        <v>0.7880866264235731</v>
      </c>
      <c r="P37" s="675"/>
      <c r="Q37" s="747">
        <f t="shared" si="6"/>
        <v>0</v>
      </c>
      <c r="R37" s="688">
        <f t="shared" si="21"/>
        <v>26</v>
      </c>
      <c r="S37" s="678">
        <f t="shared" si="19"/>
        <v>3.068387736653026</v>
      </c>
      <c r="T37" s="550"/>
    </row>
    <row r="38" spans="1:20" ht="15">
      <c r="A38" s="674">
        <v>27</v>
      </c>
      <c r="B38" s="675"/>
      <c r="C38" s="676">
        <f t="shared" si="14"/>
        <v>12.23063898701524</v>
      </c>
      <c r="D38" s="675"/>
      <c r="E38" s="676">
        <f t="shared" si="15"/>
        <v>1.223063898701524</v>
      </c>
      <c r="F38" s="675"/>
      <c r="G38" s="747">
        <f t="shared" si="16"/>
        <v>269.0740577143353</v>
      </c>
      <c r="H38" s="688">
        <f t="shared" si="20"/>
        <v>16</v>
      </c>
      <c r="I38" s="678">
        <f t="shared" si="17"/>
        <v>4.539595730245249</v>
      </c>
      <c r="J38" s="667"/>
      <c r="K38" s="674">
        <v>27</v>
      </c>
      <c r="L38" s="675"/>
      <c r="M38" s="676">
        <f t="shared" si="18"/>
        <v>12.23063898701524</v>
      </c>
      <c r="N38" s="675"/>
      <c r="O38" s="676">
        <f t="shared" si="5"/>
        <v>0.8561447290910668</v>
      </c>
      <c r="P38" s="675"/>
      <c r="Q38" s="747">
        <f t="shared" si="6"/>
        <v>0</v>
      </c>
      <c r="R38" s="688">
        <f t="shared" si="21"/>
        <v>32</v>
      </c>
      <c r="S38" s="678">
        <f t="shared" si="19"/>
        <v>3.1777170111716746</v>
      </c>
      <c r="T38" s="550"/>
    </row>
    <row r="39" spans="1:20" ht="15">
      <c r="A39" s="674">
        <v>28</v>
      </c>
      <c r="B39" s="675"/>
      <c r="C39" s="676">
        <f t="shared" si="14"/>
        <v>13.2548375656385</v>
      </c>
      <c r="D39" s="675"/>
      <c r="E39" s="676">
        <f t="shared" si="15"/>
        <v>1.32548375656385</v>
      </c>
      <c r="F39" s="675"/>
      <c r="G39" s="747">
        <f t="shared" si="16"/>
        <v>291.606426444047</v>
      </c>
      <c r="H39" s="688">
        <f t="shared" si="20"/>
        <v>21</v>
      </c>
      <c r="I39" s="678">
        <f t="shared" si="17"/>
        <v>4.694397806984532</v>
      </c>
      <c r="J39" s="667"/>
      <c r="K39" s="674">
        <v>28</v>
      </c>
      <c r="L39" s="675"/>
      <c r="M39" s="676">
        <f t="shared" si="18"/>
        <v>13.2548375656385</v>
      </c>
      <c r="N39" s="675"/>
      <c r="O39" s="676">
        <f t="shared" si="5"/>
        <v>0.927838629594695</v>
      </c>
      <c r="P39" s="675"/>
      <c r="Q39" s="747">
        <f t="shared" si="6"/>
        <v>0</v>
      </c>
      <c r="R39" s="688">
        <f t="shared" si="21"/>
        <v>39</v>
      </c>
      <c r="S39" s="678">
        <f t="shared" si="19"/>
        <v>3.2860784648891723</v>
      </c>
      <c r="T39" s="550"/>
    </row>
    <row r="40" spans="1:20" ht="15">
      <c r="A40" s="674">
        <v>29</v>
      </c>
      <c r="B40" s="675"/>
      <c r="C40" s="676">
        <f t="shared" si="14"/>
        <v>14.333044175174404</v>
      </c>
      <c r="D40" s="675"/>
      <c r="E40" s="676">
        <f t="shared" si="15"/>
        <v>1.4333044175174405</v>
      </c>
      <c r="F40" s="675"/>
      <c r="G40" s="747">
        <f t="shared" si="16"/>
        <v>315.32697185383694</v>
      </c>
      <c r="H40" s="688">
        <f t="shared" si="20"/>
        <v>26</v>
      </c>
      <c r="I40" s="678">
        <f t="shared" si="17"/>
        <v>4.847770135313084</v>
      </c>
      <c r="J40" s="667"/>
      <c r="K40" s="674">
        <v>29</v>
      </c>
      <c r="L40" s="675"/>
      <c r="M40" s="676">
        <f t="shared" si="18"/>
        <v>14.333044175174404</v>
      </c>
      <c r="N40" s="675"/>
      <c r="O40" s="676">
        <f t="shared" si="5"/>
        <v>1.0033130922622082</v>
      </c>
      <c r="P40" s="675"/>
      <c r="Q40" s="747">
        <f t="shared" si="6"/>
        <v>0</v>
      </c>
      <c r="R40" s="688">
        <f t="shared" si="21"/>
        <v>47</v>
      </c>
      <c r="S40" s="678">
        <f t="shared" si="19"/>
        <v>3.393439094719159</v>
      </c>
      <c r="T40" s="550"/>
    </row>
    <row r="41" spans="1:20" ht="15">
      <c r="A41" s="674">
        <v>30</v>
      </c>
      <c r="B41" s="675"/>
      <c r="C41" s="676">
        <f t="shared" si="14"/>
        <v>15.467482902759988</v>
      </c>
      <c r="D41" s="675"/>
      <c r="E41" s="676">
        <f t="shared" si="15"/>
        <v>1.5467482902759988</v>
      </c>
      <c r="F41" s="675"/>
      <c r="G41" s="747">
        <f t="shared" si="16"/>
        <v>340.28462386071976</v>
      </c>
      <c r="H41" s="688">
        <f t="shared" si="20"/>
        <v>32</v>
      </c>
      <c r="I41" s="678">
        <f t="shared" si="17"/>
        <v>4.999666003415737</v>
      </c>
      <c r="J41" s="667"/>
      <c r="K41" s="674">
        <v>30</v>
      </c>
      <c r="L41" s="675"/>
      <c r="M41" s="676">
        <f t="shared" si="18"/>
        <v>15.467482902759988</v>
      </c>
      <c r="N41" s="675"/>
      <c r="O41" s="676">
        <f t="shared" si="5"/>
        <v>1.0827238031931992</v>
      </c>
      <c r="P41" s="675"/>
      <c r="Q41" s="747">
        <f t="shared" si="6"/>
        <v>0</v>
      </c>
      <c r="R41" s="688">
        <f t="shared" si="21"/>
        <v>55</v>
      </c>
      <c r="S41" s="678">
        <f t="shared" si="19"/>
        <v>3.499766202391016</v>
      </c>
      <c r="T41" s="550"/>
    </row>
    <row r="42" spans="1:19" s="52" customFormat="1" ht="15">
      <c r="A42" s="680"/>
      <c r="B42" s="681"/>
      <c r="C42" s="682"/>
      <c r="D42" s="681"/>
      <c r="E42" s="682"/>
      <c r="F42" s="681"/>
      <c r="G42" s="748"/>
      <c r="H42" s="683"/>
      <c r="I42" s="683"/>
      <c r="J42" s="684"/>
      <c r="K42" s="680"/>
      <c r="L42" s="681"/>
      <c r="M42" s="682"/>
      <c r="N42" s="681"/>
      <c r="O42" s="682"/>
      <c r="P42" s="681"/>
      <c r="Q42" s="748"/>
      <c r="R42" s="684"/>
      <c r="S42" s="683"/>
    </row>
    <row r="43" spans="1:20" ht="15">
      <c r="A43" s="674">
        <v>31</v>
      </c>
      <c r="B43" s="675"/>
      <c r="C43" s="676">
        <f aca="true" t="shared" si="22" ref="C43:C52">100*(1/COS(A43/57.3)-1)</f>
        <v>16.660546339456552</v>
      </c>
      <c r="D43" s="675"/>
      <c r="E43" s="676">
        <f aca="true" t="shared" si="23" ref="E43:E52">C43*$D$4/100</f>
        <v>1.666054633945655</v>
      </c>
      <c r="F43" s="675"/>
      <c r="G43" s="747">
        <f aca="true" t="shared" si="24" ref="G43:G52">E43*$D$5</f>
        <v>366.5320194680441</v>
      </c>
      <c r="H43" s="688">
        <f aca="true" t="shared" si="25" ref="H43:H52">-ROUND(3600/(D$4-E$34)-3600/(D$4-E43),)</f>
        <v>38</v>
      </c>
      <c r="I43" s="678">
        <f aca="true" t="shared" si="26" ref="I43:I52">SIN(A43/57.3)*D$4</f>
        <v>5.150039149155168</v>
      </c>
      <c r="J43" s="667"/>
      <c r="K43" s="674">
        <v>31</v>
      </c>
      <c r="L43" s="675"/>
      <c r="M43" s="676">
        <f aca="true" t="shared" si="27" ref="M43:M52">100*(1/COS(K43/57.3)-1)</f>
        <v>16.660546339456552</v>
      </c>
      <c r="N43" s="675"/>
      <c r="O43" s="676">
        <f t="shared" si="5"/>
        <v>1.1662382437619587</v>
      </c>
      <c r="P43" s="675"/>
      <c r="Q43" s="747">
        <f t="shared" si="6"/>
        <v>0</v>
      </c>
      <c r="R43" s="688">
        <f aca="true" t="shared" si="28" ref="R43:R52">-ROUND(3600/(N$4-O$32)-3600/(N$4-O43),)</f>
        <v>63</v>
      </c>
      <c r="S43" s="678">
        <f aca="true" t="shared" si="29" ref="S43:S52">SIN(K43/57.3)*N$4</f>
        <v>3.6050274044086175</v>
      </c>
      <c r="T43" s="550"/>
    </row>
    <row r="44" spans="1:20" ht="15">
      <c r="A44" s="674">
        <v>32</v>
      </c>
      <c r="B44" s="675"/>
      <c r="C44" s="676">
        <f t="shared" si="22"/>
        <v>17.914809387661855</v>
      </c>
      <c r="D44" s="675"/>
      <c r="E44" s="676">
        <f t="shared" si="23"/>
        <v>1.7914809387661854</v>
      </c>
      <c r="F44" s="675"/>
      <c r="G44" s="747">
        <f t="shared" si="24"/>
        <v>394.1258065285608</v>
      </c>
      <c r="H44" s="688">
        <f t="shared" si="25"/>
        <v>45</v>
      </c>
      <c r="I44" s="678">
        <f t="shared" si="26"/>
        <v>5.2988437741617025</v>
      </c>
      <c r="J44" s="667"/>
      <c r="K44" s="674">
        <v>32</v>
      </c>
      <c r="L44" s="675"/>
      <c r="M44" s="676">
        <f t="shared" si="27"/>
        <v>17.914809387661855</v>
      </c>
      <c r="N44" s="675"/>
      <c r="O44" s="676">
        <f t="shared" si="5"/>
        <v>1.25403665713633</v>
      </c>
      <c r="P44" s="675"/>
      <c r="Q44" s="747">
        <f t="shared" si="6"/>
        <v>0</v>
      </c>
      <c r="R44" s="688">
        <f t="shared" si="28"/>
        <v>73</v>
      </c>
      <c r="S44" s="678">
        <f t="shared" si="29"/>
        <v>3.7091906419131915</v>
      </c>
      <c r="T44" s="550"/>
    </row>
    <row r="45" spans="1:20" ht="15">
      <c r="A45" s="674">
        <v>33</v>
      </c>
      <c r="B45" s="675"/>
      <c r="C45" s="676">
        <f t="shared" si="22"/>
        <v>19.23304455830488</v>
      </c>
      <c r="D45" s="675"/>
      <c r="E45" s="676">
        <f t="shared" si="23"/>
        <v>1.923304455830488</v>
      </c>
      <c r="F45" s="675"/>
      <c r="G45" s="747">
        <f t="shared" si="24"/>
        <v>423.12698028270734</v>
      </c>
      <c r="H45" s="688">
        <f t="shared" si="25"/>
        <v>52</v>
      </c>
      <c r="I45" s="678">
        <f t="shared" si="26"/>
        <v>5.446034557781905</v>
      </c>
      <c r="J45" s="667"/>
      <c r="K45" s="674">
        <v>33</v>
      </c>
      <c r="L45" s="675"/>
      <c r="M45" s="676">
        <f t="shared" si="27"/>
        <v>19.23304455830488</v>
      </c>
      <c r="N45" s="675"/>
      <c r="O45" s="676">
        <f t="shared" si="5"/>
        <v>1.3463131190813415</v>
      </c>
      <c r="P45" s="675"/>
      <c r="Q45" s="747">
        <f t="shared" si="6"/>
        <v>0</v>
      </c>
      <c r="R45" s="688">
        <f t="shared" si="28"/>
        <v>83</v>
      </c>
      <c r="S45" s="678">
        <f t="shared" si="29"/>
        <v>3.812224190447333</v>
      </c>
      <c r="T45" s="550"/>
    </row>
    <row r="46" spans="1:20" ht="15">
      <c r="A46" s="674">
        <v>34</v>
      </c>
      <c r="B46" s="675"/>
      <c r="C46" s="676">
        <f t="shared" si="22"/>
        <v>20.61823894194461</v>
      </c>
      <c r="D46" s="675"/>
      <c r="E46" s="676">
        <f t="shared" si="23"/>
        <v>2.061823894194461</v>
      </c>
      <c r="F46" s="675"/>
      <c r="G46" s="747">
        <f t="shared" si="24"/>
        <v>453.60125672278144</v>
      </c>
      <c r="H46" s="688">
        <f t="shared" si="25"/>
        <v>59</v>
      </c>
      <c r="I46" s="678">
        <f t="shared" si="26"/>
        <v>5.591566670881644</v>
      </c>
      <c r="J46" s="667"/>
      <c r="K46" s="674">
        <v>34</v>
      </c>
      <c r="L46" s="675"/>
      <c r="M46" s="676">
        <f t="shared" si="27"/>
        <v>20.61823894194461</v>
      </c>
      <c r="N46" s="675"/>
      <c r="O46" s="676">
        <f t="shared" si="5"/>
        <v>1.4432767259361228</v>
      </c>
      <c r="P46" s="675"/>
      <c r="Q46" s="747">
        <f t="shared" si="6"/>
        <v>0</v>
      </c>
      <c r="R46" s="688">
        <f t="shared" si="28"/>
        <v>94</v>
      </c>
      <c r="S46" s="678">
        <f t="shared" si="29"/>
        <v>3.9140966696171504</v>
      </c>
      <c r="T46" s="550"/>
    </row>
    <row r="47" spans="1:20" ht="15">
      <c r="A47" s="674">
        <v>35</v>
      </c>
      <c r="B47" s="675"/>
      <c r="C47" s="676">
        <f t="shared" si="22"/>
        <v>22.073613064809173</v>
      </c>
      <c r="D47" s="675"/>
      <c r="E47" s="676">
        <f t="shared" si="23"/>
        <v>2.207361306480917</v>
      </c>
      <c r="F47" s="675"/>
      <c r="G47" s="747">
        <f t="shared" si="24"/>
        <v>485.61948742580176</v>
      </c>
      <c r="H47" s="688">
        <f t="shared" si="25"/>
        <v>68</v>
      </c>
      <c r="I47" s="678">
        <f t="shared" si="26"/>
        <v>5.735395789499471</v>
      </c>
      <c r="J47" s="667"/>
      <c r="K47" s="674">
        <v>35</v>
      </c>
      <c r="L47" s="675"/>
      <c r="M47" s="676">
        <f t="shared" si="27"/>
        <v>22.073613064809173</v>
      </c>
      <c r="N47" s="675"/>
      <c r="O47" s="676">
        <f t="shared" si="5"/>
        <v>1.5451529145366423</v>
      </c>
      <c r="P47" s="675"/>
      <c r="Q47" s="747">
        <f t="shared" si="6"/>
        <v>0</v>
      </c>
      <c r="R47" s="688">
        <f t="shared" si="28"/>
        <v>106</v>
      </c>
      <c r="S47" s="678">
        <f t="shared" si="29"/>
        <v>4.01477705264963</v>
      </c>
      <c r="T47" s="550"/>
    </row>
    <row r="48" spans="1:20" ht="15">
      <c r="A48" s="674">
        <v>36</v>
      </c>
      <c r="B48" s="675"/>
      <c r="C48" s="676">
        <f t="shared" si="22"/>
        <v>23.602641872201247</v>
      </c>
      <c r="D48" s="675"/>
      <c r="E48" s="676">
        <f t="shared" si="23"/>
        <v>2.3602641872201247</v>
      </c>
      <c r="F48" s="675"/>
      <c r="G48" s="747">
        <f t="shared" si="24"/>
        <v>519.2581211884274</v>
      </c>
      <c r="H48" s="688">
        <f t="shared" si="25"/>
        <v>77</v>
      </c>
      <c r="I48" s="678">
        <f t="shared" si="26"/>
        <v>5.877478108346144</v>
      </c>
      <c r="J48" s="667"/>
      <c r="K48" s="674">
        <v>36</v>
      </c>
      <c r="L48" s="675"/>
      <c r="M48" s="676">
        <f t="shared" si="27"/>
        <v>23.602641872201247</v>
      </c>
      <c r="N48" s="675"/>
      <c r="O48" s="676">
        <f t="shared" si="5"/>
        <v>1.6521849310540873</v>
      </c>
      <c r="P48" s="675"/>
      <c r="Q48" s="747">
        <f t="shared" si="6"/>
        <v>0</v>
      </c>
      <c r="R48" s="688">
        <f t="shared" si="28"/>
        <v>120</v>
      </c>
      <c r="S48" s="678">
        <f t="shared" si="29"/>
        <v>4.114234675842301</v>
      </c>
      <c r="T48" s="550"/>
    </row>
    <row r="49" spans="1:20" ht="15">
      <c r="A49" s="674">
        <v>37</v>
      </c>
      <c r="B49" s="675"/>
      <c r="C49" s="676">
        <f t="shared" si="22"/>
        <v>25.20907811840585</v>
      </c>
      <c r="D49" s="675"/>
      <c r="E49" s="676">
        <f t="shared" si="23"/>
        <v>2.5209078118405848</v>
      </c>
      <c r="F49" s="675"/>
      <c r="G49" s="747">
        <f t="shared" si="24"/>
        <v>554.5997186049286</v>
      </c>
      <c r="H49" s="688">
        <f t="shared" si="25"/>
        <v>87</v>
      </c>
      <c r="I49" s="678">
        <f t="shared" si="26"/>
        <v>6.0177703541461725</v>
      </c>
      <c r="J49" s="667"/>
      <c r="K49" s="674">
        <v>37</v>
      </c>
      <c r="L49" s="675"/>
      <c r="M49" s="676">
        <f t="shared" si="27"/>
        <v>25.20907811840585</v>
      </c>
      <c r="N49" s="675"/>
      <c r="O49" s="676">
        <f t="shared" si="5"/>
        <v>1.7646354682884096</v>
      </c>
      <c r="P49" s="675"/>
      <c r="Q49" s="747">
        <f t="shared" si="6"/>
        <v>0</v>
      </c>
      <c r="R49" s="688">
        <f t="shared" si="28"/>
        <v>134</v>
      </c>
      <c r="S49" s="678">
        <f t="shared" si="29"/>
        <v>4.212439247902321</v>
      </c>
      <c r="T49" s="550"/>
    </row>
    <row r="50" spans="1:20" ht="15">
      <c r="A50" s="674">
        <v>38</v>
      </c>
      <c r="B50" s="675"/>
      <c r="C50" s="676">
        <f t="shared" si="22"/>
        <v>26.896978485291466</v>
      </c>
      <c r="D50" s="675"/>
      <c r="E50" s="676">
        <f t="shared" si="23"/>
        <v>2.6896978485291463</v>
      </c>
      <c r="F50" s="675"/>
      <c r="G50" s="747">
        <f t="shared" si="24"/>
        <v>591.7335266764122</v>
      </c>
      <c r="H50" s="688">
        <f t="shared" si="25"/>
        <v>98</v>
      </c>
      <c r="I50" s="678">
        <f t="shared" si="26"/>
        <v>6.156229798817333</v>
      </c>
      <c r="J50" s="667"/>
      <c r="K50" s="674">
        <v>38</v>
      </c>
      <c r="L50" s="675"/>
      <c r="M50" s="676">
        <f t="shared" si="27"/>
        <v>26.896978485291466</v>
      </c>
      <c r="N50" s="675"/>
      <c r="O50" s="676">
        <f t="shared" si="5"/>
        <v>1.8827884939704027</v>
      </c>
      <c r="P50" s="675"/>
      <c r="Q50" s="747">
        <f t="shared" si="6"/>
        <v>0</v>
      </c>
      <c r="R50" s="688">
        <f t="shared" si="28"/>
        <v>150</v>
      </c>
      <c r="S50" s="678">
        <f t="shared" si="29"/>
        <v>4.309360859172133</v>
      </c>
      <c r="T50" s="550"/>
    </row>
    <row r="51" spans="1:20" ht="15">
      <c r="A51" s="674">
        <v>39</v>
      </c>
      <c r="B51" s="675"/>
      <c r="C51" s="676">
        <f t="shared" si="22"/>
        <v>28.670732802437794</v>
      </c>
      <c r="D51" s="675"/>
      <c r="E51" s="676">
        <f t="shared" si="23"/>
        <v>2.8670732802437793</v>
      </c>
      <c r="F51" s="675"/>
      <c r="G51" s="747">
        <f t="shared" si="24"/>
        <v>630.7561216536315</v>
      </c>
      <c r="H51" s="688">
        <f t="shared" si="25"/>
        <v>111</v>
      </c>
      <c r="I51" s="678">
        <f t="shared" si="26"/>
        <v>6.292814272484152</v>
      </c>
      <c r="J51" s="667"/>
      <c r="K51" s="674">
        <v>39</v>
      </c>
      <c r="L51" s="675"/>
      <c r="M51" s="676">
        <f t="shared" si="27"/>
        <v>28.670732802437794</v>
      </c>
      <c r="N51" s="675"/>
      <c r="O51" s="676">
        <f t="shared" si="5"/>
        <v>2.0069512961706457</v>
      </c>
      <c r="P51" s="675"/>
      <c r="Q51" s="747">
        <f t="shared" si="6"/>
        <v>0</v>
      </c>
      <c r="R51" s="688">
        <f t="shared" si="28"/>
        <v>167</v>
      </c>
      <c r="S51" s="678">
        <f t="shared" si="29"/>
        <v>4.404969990738906</v>
      </c>
      <c r="T51" s="550"/>
    </row>
    <row r="52" spans="1:20" ht="15">
      <c r="A52" s="674">
        <v>40</v>
      </c>
      <c r="B52" s="675"/>
      <c r="C52" s="676">
        <f t="shared" si="22"/>
        <v>30.535096801373562</v>
      </c>
      <c r="D52" s="675"/>
      <c r="E52" s="676">
        <f t="shared" si="23"/>
        <v>3.0535096801373562</v>
      </c>
      <c r="F52" s="675"/>
      <c r="G52" s="747">
        <f t="shared" si="24"/>
        <v>671.7721296302184</v>
      </c>
      <c r="H52" s="688">
        <f t="shared" si="25"/>
        <v>124</v>
      </c>
      <c r="I52" s="678">
        <f t="shared" si="26"/>
        <v>6.427482176321346</v>
      </c>
      <c r="J52" s="667"/>
      <c r="K52" s="674">
        <v>40</v>
      </c>
      <c r="L52" s="675"/>
      <c r="M52" s="676">
        <f t="shared" si="27"/>
        <v>30.535096801373562</v>
      </c>
      <c r="N52" s="675"/>
      <c r="O52" s="676">
        <f t="shared" si="5"/>
        <v>2.1374567760961494</v>
      </c>
      <c r="P52" s="675"/>
      <c r="Q52" s="747">
        <f t="shared" si="6"/>
        <v>0</v>
      </c>
      <c r="R52" s="688">
        <f t="shared" si="28"/>
        <v>187</v>
      </c>
      <c r="S52" s="678">
        <f t="shared" si="29"/>
        <v>4.499237523424942</v>
      </c>
      <c r="T52" s="550"/>
    </row>
    <row r="53" spans="1:19" s="50" customFormat="1" ht="13.5" thickBot="1">
      <c r="A53" s="351"/>
      <c r="B53" s="352"/>
      <c r="C53" s="352"/>
      <c r="D53" s="352"/>
      <c r="E53" s="352"/>
      <c r="F53" s="352"/>
      <c r="G53" s="520"/>
      <c r="H53" s="520"/>
      <c r="I53" s="520"/>
      <c r="J53" s="161"/>
      <c r="K53" s="351"/>
      <c r="L53" s="352"/>
      <c r="M53" s="352"/>
      <c r="N53" s="352"/>
      <c r="O53" s="352"/>
      <c r="P53" s="352"/>
      <c r="Q53" s="520"/>
      <c r="R53" s="161"/>
      <c r="S53" s="520"/>
    </row>
  </sheetData>
  <sheetProtection/>
  <mergeCells count="2">
    <mergeCell ref="F4:H5"/>
    <mergeCell ref="P4:R5"/>
  </mergeCells>
  <printOptions/>
  <pageMargins left="0" right="0" top="0.25" bottom="0" header="0.25" footer="0.5"/>
  <pageSetup fitToHeight="1" fitToWidth="1" horizontalDpi="600" verticalDpi="600" orientation="portrait" scale="97" r:id="rId1"/>
  <headerFooter alignWithMargins="0">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Race Program - Detailed</dc:title>
  <dc:subject>Contest Prep Program</dc:subject>
  <dc:creator>W. Allen Smith - Bob Lindal</dc:creator>
  <cp:keywords/>
  <dc:description>206-892-1234
bobl@lindal.com</dc:description>
  <cp:lastModifiedBy>James Anderson</cp:lastModifiedBy>
  <cp:lastPrinted>2018-02-24T22:58:29Z</cp:lastPrinted>
  <dcterms:created xsi:type="dcterms:W3CDTF">1999-05-04T03:34:19Z</dcterms:created>
  <dcterms:modified xsi:type="dcterms:W3CDTF">2018-03-19T01:58:59Z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